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1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_rels/sheet6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F717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Budget" sheetId="2" state="visible" r:id="rId4"/>
    <sheet name="Guests" sheetId="6" state="visible" r:id="rId8"/>
    <sheet name="Lists" sheetId="19" state="hidden" r:id="rId21"/>
  </sheets>
  <definedNames>
    <definedName function="false" hidden="false" localSheetId="1" name="_xlnm.Print_Area" vbProcedure="false">Budget!$A$4:$AB$78</definedName>
    <definedName function="false" hidden="false" localSheetId="0" name="_xlnm.Print_Area" vbProcedure="false">Dashboard!$A$4:$AJ$59</definedName>
    <definedName function="false" hidden="false" localSheetId="2" name="_xlnm.Print_Area" vbProcedure="false">Guests!$A$4:$AG$506</definedName>
    <definedName function="false" hidden="false" localSheetId="2" name="_xlnm.Print_Titles" vbProcedure="false">Guests!$6:$6</definedName>
  </definedName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<sst xmlns="http://schemas.openxmlformats.org/spreadsheetml/2006/main" count="319" uniqueCount="319">
  <si>
    <t xml:space="preserve">                        
Dashboard
                        </t>
  </si>
  <si>
    <t xml:space="preserve">MONEY</t>
  </si>
  <si>
    <t xml:space="preserve">GUESTS</t>
  </si>
  <si>
    <t xml:space="preserve">PLANNING</t>
  </si>
  <si>
    <t xml:space="preserve">THE DAY &amp; AFTER</t>
  </si>
  <si>
    <t xml:space="preserve">TOOLS</t>
  </si>
  <si>
    <t xml:space="preserve">Joli Plan</t>
  </si>
  <si>
    <t xml:space="preserve">      Budget      </t>
  </si>
  <si>
    <t xml:space="preserve">       Guests        </t>
  </si>
  <si>
    <t xml:space="preserve">       ?  Help       </t>
  </si>
  <si>
    <t xml:space="preserve">First name 1</t>
  </si>
  <si>
    <t xml:space="preserve">Keep an eye on</t>
  </si>
  <si>
    <t xml:space="preserve">First name 2</t>
  </si>
  <si>
    <t xml:space="preserve">Wedding date</t>
  </si>
  <si>
    <t xml:space="preserve">Total budget</t>
  </si>
  <si>
    <t xml:space="preserve">Guests (approx.)</t>
  </si>
  <si>
    <t xml:space="preserve">BUDGET PAID</t>
  </si>
  <si>
    <t xml:space="preserve">GUESTS CONFIRMED</t>
  </si>
  <si>
    <t xml:space="preserve">NEXT PAYMENT</t>
  </si>
  <si>
    <t xml:space="preserve">DAYS TO GO</t>
  </si>
  <si>
    <t xml:space="preserve">GIVING NOTICE</t>
  </si>
  <si>
    <t xml:space="preserve">            Open  ›            </t>
  </si>
  <si>
    <t xml:space="preserve">Budget</t>
  </si>
  <si>
    <t xml:space="preserve">Guests</t>
  </si>
  <si>
    <t xml:space="preserve">Total planned (or suggested)</t>
  </si>
  <si>
    <t xml:space="preserve">Guests (people)</t>
  </si>
  <si>
    <t xml:space="preserve">Committed (signed quotes + shopping)</t>
  </si>
  <si>
    <t xml:space="preserve">Invitations: day / evening</t>
  </si>
  <si>
    <t xml:space="preserve">Paid so far</t>
  </si>
  <si>
    <t xml:space="preserve">Confirmed attending</t>
  </si>
  <si>
    <t xml:space="preserve">Left to pay</t>
  </si>
  <si>
    <t xml:space="preserve">Awaiting reply</t>
  </si>
  <si>
    <t xml:space="preserve">Estimated final cost</t>
  </si>
  <si>
    <t xml:space="preserve">Wedding breakfast: adults / children</t>
  </si>
  <si>
    <t xml:space="preserve">Margin vs total budget</t>
  </si>
  <si>
    <t xml:space="preserve">Evening only (confirmed)</t>
  </si>
  <si>
    <t xml:space="preserve">Suppliers</t>
  </si>
  <si>
    <t xml:space="preserve">% of final cost paid</t>
  </si>
  <si>
    <t xml:space="preserve">Day-after brunch (confirmed)</t>
  </si>
  <si>
    <t xml:space="preserve">Booked</t>
  </si>
  <si>
    <t xml:space="preserve">Money set aside (Budget tab)</t>
  </si>
  <si>
    <t xml:space="preserve">Dietary needs and allergies</t>
  </si>
  <si>
    <t xml:space="preserve">Not committed yet</t>
  </si>
  <si>
    <t xml:space="preserve">Invitations still to send</t>
  </si>
  <si>
    <t xml:space="preserve">Guests without accommodation</t>
  </si>
  <si>
    <t xml:space="preserve">Coach seats (confirmed)</t>
  </si>
  <si>
    <t xml:space="preserve">On the day</t>
  </si>
  <si>
    <t xml:space="preserve">Attending</t>
  </si>
  <si>
    <t xml:space="preserve">Declined</t>
  </si>
  <si>
    <t xml:space="preserve">Where your budget stands</t>
  </si>
  <si>
    <t xml:space="preserve">Guest replies</t>
  </si>
  <si>
    <t xml:space="preserve">Help: how it works</t>
  </si>
  <si>
    <t xml:space="preserve">✎ to fill in</t>
  </si>
  <si>
    <t xml:space="preserve">White cells are yours to fill in. Type in it, or tap it and choose from the list ▾. Everything else fills itself in, and a calculation can't be deleted by mistake.</t>
  </si>
  <si>
    <t xml:space="preserve">£1,250</t>
  </si>
  <si>
    <t xml:space="preserve">Text on the coloured background is worked out from what you've typed elsewhere.</t>
  </si>
  <si>
    <t xml:space="preserve">Dashboard</t>
  </si>
  <si>
    <t xml:space="preserve">The menu at the top of every tab takes you everywhere: tap a button, it's always in the same place. Each area has its own colour: money, guests, planning, the day &amp; after, tools.</t>
  </si>
  <si>
    <t xml:space="preserve">⇆</t>
  </si>
  <si>
    <t xml:space="preserve">On a phone, the tabs are also at the bottom of the screen, each in the colour of its area: swipe the bar to see them all.</t>
  </si>
  <si>
    <t xml:space="preserve">•</t>
  </si>
  <si>
    <t xml:space="preserve">Google Sheets: choose File › Save as Google Sheets. Everything works better (menus, calendar, dates).</t>
  </si>
  <si>
    <t xml:space="preserve">Dark colours on your phone? In Google Sheets: menu ⋮ › View in light theme.</t>
  </si>
  <si>
    <t xml:space="preserve">Some drop-downs also accept your own text (group, diet, category, who…).</t>
  </si>
  <si>
    <t xml:space="preserve">To remove a row, clear its white cells. To add one, type in the first empty white row: every list already has plenty (500 guests, 100 payments, 15 extra budget lines, 30 extra steps, 50 appointments). Inserting a row is blocked, because it would break the calculations.</t>
  </si>
  <si>
    <t xml:space="preserve">To send a sheet (caterer, DJ, seating plan) as a PDF, open the tab, then: Excel on a computer, File › Export › Create PDF/XPS Document; Excel on a Mac, File › Print › PDF › Save as PDF; Excel online, File › Export › Download as PDF; Google Sheets, File › Download › PDF.</t>
  </si>
  <si>
    <t xml:space="preserve">Made a mistake? Undo straight away with Ctrl+Z (Cmd+Z on a Mac) or the ↶ arrow at the top of the screen, in Excel or Google Sheets, on a computer or a phone.</t>
  </si>
  <si>
    <t xml:space="preserve">Prices, timings and deadlines are guides: adapt them, and delete whatever doesn't apply to you.</t>
  </si>
  <si>
    <t xml:space="preserve">Your information stays in your file: nothing is sent anywhere.</t>
  </si>
  <si>
    <t xml:space="preserve">Smaller screen (laptop)? If the right edge of a tab goes off screen, zoom out with the slider at the bottom right of Excel (80%, for example). In Google Sheets: View › Zoom.</t>
  </si>
  <si>
    <t xml:space="preserve">Tab by tab: how to use it, and a tip from Joli Plan</t>
  </si>
  <si>
    <t xml:space="preserve">Choose your region on the right, then enter your signed quotes: if a quote is "+ VAT", choose "+ VAT" and the actual cost (with 20% VAT) is worked out for you. The suggested budget, shopping and payments are calculated automatically; the chart is below the table. A suggested budget on a pink background is below the usual minimum for that item: a choice to make, not a mistake.
✦  Joli Plan tip: the suggested budget already keeps 5% aside for surprises (extra hours, alterations, overtime): leave it alone until the last week.</t>
  </si>
  <si>
    <t xml:space="preserve">One row per deposit or final balance. Once it's paid, choose "Yes": the budget updates itself.
✦  Joli Plan tip: add each deposit as soon as you sign: final balances are often due two weeks to a month before the wedding, just when everything happens at once.</t>
  </si>
  <si>
    <t xml:space="preserve">One row per supplier you contact: their quote, its status and your rating from 1 to 5.
✦  Joli Plan tip: ask for 3 quotes per item and compare what's included (travel, extra hours, VAT) before comparing prices.</t>
  </si>
  <si>
    <t xml:space="preserve">Enter the price, then "Yes" once bought: the cost is added to your budget. Delete whatever doesn't apply to you.
✦  Joli Plan tip: order stationery and décor at least 3 months ahead: from May to September, delivery times get longer.</t>
  </si>
  <si>
    <t xml:space="preserve">One row per person: type the surname and first name, the number appears by itself. For a child, choose "Yes" in Child?. Evening guests: choose "Evening only" in Invited to: they're left out of the wedding breakfast count. Same household name (e.g. "The Smiths") = one invitation.
✦  Joli Plan tip: some guests always reply late: set your RSVP deadline 6 to 8 weeks before the wedding, as the caterer will soon ask for final numbers.</t>
  </si>
  <si>
    <t xml:space="preserve">Give each table a name and a number of seats, then choose each guest's table in the Guests tab.
✦  Joli Plan tip: seat the top table and family tables first, then group guests by who gets on rather than by age.</t>
  </si>
  <si>
    <t xml:space="preserve">Nothing to fill in here: each card shows the guests seated at its table (Guests tab, "Table no." column). To make a PDF: in Excel, File › Export › Create PDF/XPS Document (on a Mac: File › Print › PDF); in Google Sheets, File › Download › PDF.
✦  Joli Plan tip: send this plan to your caterer a week before, with dietary needs and high chairs: they'll ask for them.</t>
  </si>
  <si>
    <t xml:space="preserve">Enter the supplier meals and your menu: the caterer sheet fills itself in, with separate wedding breakfast and evening numbers. To make a PDF: in Excel, File › Export › Create PDF/XPS Document (on a Mac: File › Print › PDF); in Google Sheets, File › Download › PDF.
✦  Joli Plan tip: final numbers are often due 2 to 4 weeks before: chase guests who haven't replied before then.</t>
  </si>
  <si>
    <t xml:space="preserve">Choose who's doing it, then "Yes" when it's done. The guide shows the usual timing; if a supplier gives you a different timing, type it in (e.g. 4 and "months"): the date updates and the guide stays visible. Small wedding? Choose it at the top: steps you won't need disappear.
✦  Joli Plan tip: book the venue and the date first: caterer, photographer and music all depend on them.</t>
  </si>
  <si>
    <t xml:space="preserve">The date, the time, who with and what to bring: your next appointments appear on the dashboard.
✦  Joli Plan tip: note what to bring to each appointment: shoes for fittings, inspiration photos for hair.</t>
  </si>
  <si>
    <t xml:space="preserve">Giving notice</t>
  </si>
  <si>
    <t xml:space="preserve">Choose where you're getting married (England &amp; Wales, Scotland or Northern Ireland): the steps, documents and your notice window update. Then choose the status of each row.
✦  Joli Plan tip: rules and fees change (often on 1 April) and vary by council: always check with your register office.</t>
  </si>
  <si>
    <t xml:space="preserve">Witnesses, bridal party, family: their phone numbers and roles on the day. Booked suppliers are added automatically. Below: the hen do and stag do kitty (who owes what).
✦  Joli Plan tip: give your best man or maid of honour every supplier's number: on the day, they get the calls, not you.</t>
  </si>
  <si>
    <t xml:space="preserve">Ceremony</t>
  </si>
  <si>
    <t xml:space="preserve">Enter the start time and how long each moment lasts: the times are worked out for you.
✦  Joli Plan tip: read each reading aloud with a timer: 2 to 3 minutes is enough to move people without losing them.</t>
  </si>
  <si>
    <t xml:space="preserve">Choose your songs and styles: the band/DJ sheet fills itself in. To make a PDF: in Excel, File › Export › Create PDF/XPS Document (on a Mac: File › Print › PDF); in Google Sheets, File › Download › PDF.
✦  Joli Plan tip: give the DJ your 3 banned songs as well as your favourites: it's the easiest way to avoid an awkward moment.</t>
  </si>
  <si>
    <t xml:space="preserve">Enter how long each moment lasts, and a time only if it's fixed: the order of the day works itself out.
✦  Joli Plan tip: keep 15 minutes spare between moments: photos, travel and hugs always take longer than planned.</t>
  </si>
  <si>
    <t xml:space="preserve">Your guests are listed automatically, one card per household: note their gift (gift list, honeymoon fund…), choose how to send, then "Yes" once sent. The address comes from the household's first person in Guests. On the right: other people to thank.
✦  Joli Plan tip: send your thank yous within 2 months: one personal line per card makes all the difference.</t>
  </si>
  <si>
    <t xml:space="preserve">Notes</t>
  </si>
  <si>
    <t xml:space="preserve">An idea, a question, a link: anything you'd have jotted on paper. A few useful questions are ready for you.
✦  Joli Plan tip: drop ideas here as they come (a link, a wish, a name): you can sort them later.</t>
  </si>
  <si>
    <t xml:space="preserve">© 2026 Joli Plan · All rights reserved</t>
  </si>
  <si>
    <t xml:space="preserve">Personal use licence: this file is for the buyer only. It may not be shared, resold or distributed, in whole or in part, even if modified.</t>
  </si>
  <si>
    <t xml:space="preserve">↶  Made a mistake? Undo with Ctrl+Z, or the ↶ arrow at the top of the screen</t>
  </si>
  <si>
    <t xml:space="preserve">✎  Type in the white cells. Enter your signed quotes (choose "+ VAT" if VAT is extra): the suggested budget, shopping and payments are worked out for you.   Full guide and tip  ›  Help</t>
  </si>
  <si>
    <t xml:space="preserve">Item</t>
  </si>
  <si>
    <t xml:space="preserve">Typical UK prices</t>
  </si>
  <si>
    <t xml:space="preserve">Suggested
budget</t>
  </si>
  <si>
    <t xml:space="preserve">Your planned
budget</t>
  </si>
  <si>
    <t xml:space="preserve">Signed
quote</t>
  </si>
  <si>
    <t xml:space="preserve">VAT  ▾</t>
  </si>
  <si>
    <t xml:space="preserve">Actual cost</t>
  </si>
  <si>
    <t xml:space="preserve">Left
to pay</t>
  </si>
  <si>
    <t xml:space="preserve">Difference
vs planned</t>
  </si>
  <si>
    <t xml:space="preserve">Your budget at a glance</t>
  </si>
  <si>
    <t xml:space="preserve">Venue hire</t>
  </si>
  <si>
    <t xml:space="preserve">average £6,040 (venue only); marquee or tipi £4,633</t>
  </si>
  <si>
    <t xml:space="preserve">Your total budget</t>
  </si>
  <si>
    <t xml:space="preserve">Catering &amp; drinks</t>
  </si>
  <si>
    <t xml:space="preserve">wedding breakfast average £5,406; drinks extra</t>
  </si>
  <si>
    <t xml:space="preserve">Guests counted</t>
  </si>
  <si>
    <t xml:space="preserve">Photographer</t>
  </si>
  <si>
    <t xml:space="preserve">average £1,484</t>
  </si>
  <si>
    <t xml:space="preserve">Average for your region and guests</t>
  </si>
  <si>
    <t xml:space="preserve">Videographer</t>
  </si>
  <si>
    <t xml:space="preserve">average £1,514</t>
  </si>
  <si>
    <t xml:space="preserve">Our verdict</t>
  </si>
  <si>
    <t xml:space="preserve">Band / DJ</t>
  </si>
  <si>
    <t xml:space="preserve">evening music average £1,061; ceremony music £845</t>
  </si>
  <si>
    <t xml:space="preserve">Optional items (videographer, honeymoon…)</t>
  </si>
  <si>
    <t xml:space="preserve">Flowers &amp; décor</t>
  </si>
  <si>
    <t xml:space="preserve">florist average £1,187; décor £1,404</t>
  </si>
  <si>
    <t xml:space="preserve">Your region  ▾</t>
  </si>
  <si>
    <t xml:space="preserve">UK average</t>
  </si>
  <si>
    <t xml:space="preserve">Dress &amp; accessories</t>
  </si>
  <si>
    <t xml:space="preserve">dress average £1,532; accessories £449</t>
  </si>
  <si>
    <t xml:space="preserve">Who's paying?</t>
  </si>
  <si>
    <t xml:space="preserve">Suit &amp; accessories</t>
  </si>
  <si>
    <t xml:space="preserve">average £859; hire costs less</t>
  </si>
  <si>
    <t xml:space="preserve">Our savings</t>
  </si>
  <si>
    <t xml:space="preserve">Wedding rings</t>
  </si>
  <si>
    <t xml:space="preserve">rings and jewellery average £1,057</t>
  </si>
  <si>
    <t xml:space="preserve">Hair &amp; make-up</t>
  </si>
  <si>
    <t xml:space="preserve">hair £417 and make-up £394 on average</t>
  </si>
  <si>
    <t xml:space="preserve">Stationery</t>
  </si>
  <si>
    <t xml:space="preserve">average £378</t>
  </si>
  <si>
    <t xml:space="preserve">Others (gifts, honeymoon fund…)</t>
  </si>
  <si>
    <t xml:space="preserve">Wedding cake</t>
  </si>
  <si>
    <t xml:space="preserve">average £360</t>
  </si>
  <si>
    <t xml:space="preserve">Total funding</t>
  </si>
  <si>
    <t xml:space="preserve">Ceremony &amp; registrar fees</t>
  </si>
  <si>
    <t xml:space="preserve">notice and registrar fees set by your council; celebrant average £504</t>
  </si>
  <si>
    <t xml:space="preserve">Evening food</t>
  </si>
  <si>
    <t xml:space="preserve">average £2,002 (bacon rolls, pizza, cheese table…)</t>
  </si>
  <si>
    <t xml:space="preserve">Transport</t>
  </si>
  <si>
    <t xml:space="preserve">average £593</t>
  </si>
  <si>
    <t xml:space="preserve">Entertainment &amp; toastmaster</t>
  </si>
  <si>
    <t xml:space="preserve">entertainment average £844; toastmaster £514</t>
  </si>
  <si>
    <t xml:space="preserve">Favours &amp; thank-you gifts</t>
  </si>
  <si>
    <t xml:space="preserve">favours from about £1 a guest, plus gifts for your bridal party (estimate)</t>
  </si>
  <si>
    <t xml:space="preserve">Accommodation &amp; wedding night</t>
  </si>
  <si>
    <t xml:space="preserve">depends on your venue (estimate)</t>
  </si>
  <si>
    <t xml:space="preserve">Day-after brunch</t>
  </si>
  <si>
    <t xml:space="preserve">often a simple buffet or BBQ for some guests (estimate)</t>
  </si>
  <si>
    <t xml:space="preserve">Honeymoon</t>
  </si>
  <si>
    <t xml:space="preserve">varies a lot: set your own amount (estimate)</t>
  </si>
  <si>
    <t xml:space="preserve">Contingency</t>
  </si>
  <si>
    <t xml:space="preserve">keep about 5% of your budget for surprises</t>
  </si>
  <si>
    <t xml:space="preserve">Total</t>
  </si>
  <si>
    <t xml:space="preserve">UK prices from the Bridebook UK Wedding Report 2026: a wedding costs £20,604 on average, from £17,342 (North West) to £26,986 (London). Supplier prices also vary by region.</t>
  </si>
  <si>
    <t xml:space="preserve">The suggested budget funds the essentials first; optional items (videographer, transport, entertainment, accommodation, brunch, honeymoon) get what's left.</t>
  </si>
  <si>
    <t xml:space="preserve">In pink: less than typical prices, a choice to make. To change an amount, type it in "Your planned budget".</t>
  </si>
  <si>
    <t xml:space="preserve">Actual cost = signed quotes (+ 20% VAT if you chose "+ VAT") + shopping. Paid = payments marked "Yes" + items bought. Difference in red = over budget.</t>
  </si>
  <si>
    <t xml:space="preserve">Budget chart     planned and actual cost, item by item</t>
  </si>
  <si>
    <t xml:space="preserve">Contact</t>
  </si>
  <si>
    <t xml:space="preserve">Phone</t>
  </si>
  <si>
    <t xml:space="preserve">✎  Type in the white cells. One row per person: fill in from Surname to Household first, then the rest as replies come in. Evening guests: choose "Evening only" in Invited to.   Full guide and tip  ›  Help</t>
  </si>
  <si>
    <t xml:space="preserve">No.</t>
  </si>
  <si>
    <t xml:space="preserve">Surname</t>
  </si>
  <si>
    <t xml:space="preserve">First name</t>
  </si>
  <si>
    <t xml:space="preserve">Side  ▾</t>
  </si>
  <si>
    <t xml:space="preserve">Group  ▾</t>
  </si>
  <si>
    <t xml:space="preserve">Child?  ▾</t>
  </si>
  <si>
    <t xml:space="preserve">Household</t>
  </si>
  <si>
    <t xml:space="preserve">Invited to  ▾</t>
  </si>
  <si>
    <t xml:space="preserve">Save the
date  ▾</t>
  </si>
  <si>
    <t xml:space="preserve">Invitation
sent  ▾</t>
  </si>
  <si>
    <t xml:space="preserve">RSVP  ▾</t>
  </si>
  <si>
    <t xml:space="preserve">Day-after
brunch  ▾</t>
  </si>
  <si>
    <t xml:space="preserve">Diet /
allergy  ▾</t>
  </si>
  <si>
    <t xml:space="preserve">Table
no.  ▾</t>
  </si>
  <si>
    <t xml:space="preserve">Staying  ▾</t>
  </si>
  <si>
    <t xml:space="preserve">Coach  ▾</t>
  </si>
  <si>
    <t xml:space="preserve">Email</t>
  </si>
  <si>
    <t xml:space="preserve">Postal address</t>
  </si>
  <si>
    <t xml:space="preserve">Full wedding</t>
  </si>
  <si>
    <t xml:space="preserve">Planning</t>
  </si>
  <si>
    <t xml:space="preserve">Outfits &amp; beauty</t>
  </si>
  <si>
    <t xml:space="preserve">Reception</t>
  </si>
  <si>
    <t xml:space="preserve">After</t>
  </si>
  <si>
    <t xml:space="preserve">England &amp; Wales</t>
  </si>
  <si>
    <t xml:space="preserve">Supplier</t>
  </si>
  <si>
    <t xml:space="preserve">After the meal</t>
  </si>
  <si>
    <t xml:space="preserve">Friends</t>
  </si>
  <si>
    <t xml:space="preserve">Colleagues</t>
  </si>
  <si>
    <t xml:space="preserve">British classics and singalongs</t>
  </si>
  <si>
    <t xml:space="preserve">Today's pop</t>
  </si>
  <si>
    <t xml:space="preserve">80s</t>
  </si>
  <si>
    <t xml:space="preserve">90s and 2000s</t>
  </si>
  <si>
    <t xml:space="preserve">Disco and funk</t>
  </si>
  <si>
    <t xml:space="preserve">Rock and indie</t>
  </si>
  <si>
    <t xml:space="preserve">Hip hop and R&amp;B</t>
  </si>
  <si>
    <t xml:space="preserve">Dance and house</t>
  </si>
  <si>
    <t xml:space="preserve">Latin and reggaeton</t>
  </si>
  <si>
    <t xml:space="preserve">World music</t>
  </si>
  <si>
    <t xml:space="preserve">Jazz and swing</t>
  </si>
  <si>
    <t xml:space="preserve">Classical</t>
  </si>
  <si>
    <t xml:space="preserve">Ceilidh and group dances</t>
  </si>
  <si>
    <t xml:space="preserve">Slow songs</t>
  </si>
  <si>
    <t xml:space="preserve">Cheesy classics, proudly</t>
  </si>
  <si>
    <t xml:space="preserve">Question to ask</t>
  </si>
  <si>
    <t xml:space="preserve">Family</t>
  </si>
  <si>
    <t xml:space="preserve">Yes</t>
  </si>
  <si>
    <t xml:space="preserve">To contact</t>
  </si>
  <si>
    <t xml:space="preserve">Vegetarian</t>
  </si>
  <si>
    <t xml:space="preserve">All day</t>
  </si>
  <si>
    <t xml:space="preserve">Deposit</t>
  </si>
  <si>
    <t xml:space="preserve">Bank transfer</t>
  </si>
  <si>
    <t xml:space="preserve">At the venue</t>
  </si>
  <si>
    <t xml:space="preserve">Witness</t>
  </si>
  <si>
    <t xml:space="preserve">Venue visit</t>
  </si>
  <si>
    <t xml:space="preserve">To do</t>
  </si>
  <si>
    <t xml:space="preserve">Idea</t>
  </si>
  <si>
    <t xml:space="preserve">♥ We love</t>
  </si>
  <si>
    <t xml:space="preserve">DJ</t>
  </si>
  <si>
    <t xml:space="preserve">Before the meal</t>
  </si>
  <si>
    <t xml:space="preserve">Play</t>
  </si>
  <si>
    <t xml:space="preserve">January</t>
  </si>
  <si>
    <t xml:space="preserve">© 2026 Joli Plan · All rights reserved. Personal use licence: this file is for the buyer only. It may not be shared, resold or distributed, in whole or in part, even if modified.</t>
  </si>
  <si>
    <t xml:space="preserve">Post</t>
  </si>
  <si>
    <t xml:space="preserve">months</t>
  </si>
  <si>
    <t xml:space="preserve">inc. VAT</t>
  </si>
  <si>
    <t xml:space="preserve">Hen do</t>
  </si>
  <si>
    <t xml:space="preserve">No</t>
  </si>
  <si>
    <t xml:space="preserve">Quote requested</t>
  </si>
  <si>
    <t xml:space="preserve">Vegan</t>
  </si>
  <si>
    <t xml:space="preserve">Evening only</t>
  </si>
  <si>
    <t xml:space="preserve">Instalment</t>
  </si>
  <si>
    <t xml:space="preserve">Cheque</t>
  </si>
  <si>
    <t xml:space="preserve">Hotel / B&amp;B</t>
  </si>
  <si>
    <t xml:space="preserve">Best man</t>
  </si>
  <si>
    <t xml:space="preserve">Register office appointment</t>
  </si>
  <si>
    <t xml:space="preserve">In progress</t>
  </si>
  <si>
    <t xml:space="preserve">A little</t>
  </si>
  <si>
    <t xml:space="preserve">Band</t>
  </si>
  <si>
    <t xml:space="preserve">Between courses</t>
  </si>
  <si>
    <t xml:space="preserve">Please don't</t>
  </si>
  <si>
    <t xml:space="preserve">February</t>
  </si>
  <si>
    <t xml:space="preserve">weeks</t>
  </si>
  <si>
    <t xml:space="preserve">Scotland</t>
  </si>
  <si>
    <t xml:space="preserve">+ VAT</t>
  </si>
  <si>
    <t xml:space="preserve">London</t>
  </si>
  <si>
    <t xml:space="preserve">Small wedding (under 30)</t>
  </si>
  <si>
    <t xml:space="preserve">Stag do</t>
  </si>
  <si>
    <t xml:space="preserve">Both</t>
  </si>
  <si>
    <t xml:space="preserve">Quote received</t>
  </si>
  <si>
    <t xml:space="preserve">Gluten-free</t>
  </si>
  <si>
    <t xml:space="preserve">Final balance</t>
  </si>
  <si>
    <t xml:space="preserve">Card</t>
  </si>
  <si>
    <t xml:space="preserve">With family</t>
  </si>
  <si>
    <t xml:space="preserve">Maid of honour</t>
  </si>
  <si>
    <t xml:space="preserve">Notice appointment</t>
  </si>
  <si>
    <t xml:space="preserve">Ready</t>
  </si>
  <si>
    <t xml:space="preserve">Don't forget</t>
  </si>
  <si>
    <t xml:space="preserve">Playlist</t>
  </si>
  <si>
    <t xml:space="preserve">March</t>
  </si>
  <si>
    <t xml:space="preserve">days</t>
  </si>
  <si>
    <t xml:space="preserve">Northern Ireland</t>
  </si>
  <si>
    <t xml:space="preserve">South East England</t>
  </si>
  <si>
    <t xml:space="preserve">Neighbours</t>
  </si>
  <si>
    <t xml:space="preserve">No pork</t>
  </si>
  <si>
    <t xml:space="preserve">Other</t>
  </si>
  <si>
    <t xml:space="preserve">Cash</t>
  </si>
  <si>
    <t xml:space="preserve">Witnesses</t>
  </si>
  <si>
    <t xml:space="preserve">Going home</t>
  </si>
  <si>
    <t xml:space="preserve">Bridesmaid</t>
  </si>
  <si>
    <t xml:space="preserve">Meeting the celebrant</t>
  </si>
  <si>
    <t xml:space="preserve">Done</t>
  </si>
  <si>
    <t xml:space="preserve">Inspiration</t>
  </si>
  <si>
    <t xml:space="preserve">Before the first dance</t>
  </si>
  <si>
    <t xml:space="preserve">April</t>
  </si>
  <si>
    <t xml:space="preserve">No card</t>
  </si>
  <si>
    <t xml:space="preserve">South West England</t>
  </si>
  <si>
    <t xml:space="preserve">Not chosen</t>
  </si>
  <si>
    <t xml:space="preserve">Dairy-free</t>
  </si>
  <si>
    <t xml:space="preserve">To find</t>
  </si>
  <si>
    <t xml:space="preserve">Usher</t>
  </si>
  <si>
    <t xml:space="preserve">Marriage preparation</t>
  </si>
  <si>
    <t xml:space="preserve">Not needed</t>
  </si>
  <si>
    <t xml:space="preserve">To buy</t>
  </si>
  <si>
    <t xml:space="preserve">Celebrant / officiant</t>
  </si>
  <si>
    <t xml:space="preserve">At the evening reception</t>
  </si>
  <si>
    <t xml:space="preserve">May</t>
  </si>
  <si>
    <t xml:space="preserve">East of England</t>
  </si>
  <si>
    <t xml:space="preserve">Allergy (see notes)</t>
  </si>
  <si>
    <t xml:space="preserve">Flower girl / page boy</t>
  </si>
  <si>
    <t xml:space="preserve">Menu tasting</t>
  </si>
  <si>
    <t xml:space="preserve">June</t>
  </si>
  <si>
    <t xml:space="preserve">West Midlands</t>
  </si>
  <si>
    <t xml:space="preserve">Photographer / videographer</t>
  </si>
  <si>
    <t xml:space="preserve">July</t>
  </si>
  <si>
    <t xml:space="preserve">East Midlands</t>
  </si>
  <si>
    <t xml:space="preserve">Parent</t>
  </si>
  <si>
    <t xml:space="preserve">August</t>
  </si>
  <si>
    <t xml:space="preserve">Yorkshire &amp; the Humber</t>
  </si>
  <si>
    <t xml:space="preserve">Florist</t>
  </si>
  <si>
    <t xml:space="preserve">September</t>
  </si>
  <si>
    <t xml:space="preserve">North West England</t>
  </si>
  <si>
    <t xml:space="preserve">Friend</t>
  </si>
  <si>
    <t xml:space="preserve">Dress or suit fitting</t>
  </si>
  <si>
    <t xml:space="preserve">October</t>
  </si>
  <si>
    <t xml:space="preserve">North East England</t>
  </si>
  <si>
    <t xml:space="preserve">Wedding planner</t>
  </si>
  <si>
    <t xml:space="preserve">Hair and make-up trial</t>
  </si>
  <si>
    <t xml:space="preserve">November</t>
  </si>
  <si>
    <t xml:space="preserve">Wales</t>
  </si>
  <si>
    <t xml:space="preserve">December</t>
  </si>
  <si>
    <t xml:space="preserve">Cake maker</t>
  </si>
  <si>
    <t xml:space="preserve">Accommodation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</si>
</sst>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General"/>
    <numFmt numFmtId="166" formatCode="0"/>
    <numFmt numFmtId="167" formatCode="dd/mm/yyyy"/>
    <numFmt numFmtId="168" formatCode="&quot;£&quot;#,##0;\-&quot;£&quot;#,##0;\–"/>
    <numFmt numFmtId="169" formatCode="0&quot; guests&quot;"/>
    <numFmt numFmtId="170" formatCode="0%"/>
    <numFmt numFmtId="171" formatCode="hh:mm"/>
    <numFmt numFmtId="172" formatCode="&quot;£&quot;#,##0;\-&quot;£&quot;#,##0;&quot;&quot;"/>
    <numFmt numFmtId="173" formatCode="@"/>
    <numFmt numFmtId="174" formatCode="&quot;£&quot;#,##0.00;\-&quot;£&quot;#,##0.00;&quot;&quot;"/>
    <numFmt numFmtId="175" formatCode="[$-809]\£#,##0;&quot;-£&quot;#,##0;&quot;&quot;"/>
    <numFmt numFmtId="176" formatCode="[$-809]\£#,##0;&quot;-£&quot;#,##0;\–"/>
    <numFmt numFmtId="177" formatCode="0&quot; min&quot;"/>
    <numFmt numFmtId="178" formatCode="hh:mm:ss\ AM/PM"/>
  </numFmts>
  <fonts count="7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13"/>
      <color rgb="FF46573F"/>
      <name val="Georgia"/>
      <family val="0"/>
      <charset val="1"/>
    </font>
    <font>
      <b val="true"/>
      <sz val="9"/>
      <color rgb="FF3B3B3B"/>
      <name val="Arial"/>
      <family val="0"/>
      <charset val="1"/>
    </font>
    <font>
      <b val="true"/>
      <sz val="9"/>
      <color rgb="FFF3D5D0"/>
      <name val="Arial"/>
      <family val="0"/>
      <charset val="1"/>
    </font>
    <font>
      <sz val="32"/>
      <color rgb="FFFAF6F1"/>
      <name val="Georgia"/>
      <family val="0"/>
      <charset val="1"/>
    </font>
    <font>
      <sz val="36"/>
      <color rgb="FFFAF6F1"/>
      <name val="Arial"/>
      <family val="0"/>
      <charset val="1"/>
    </font>
    <font>
      <b val="true"/>
      <sz val="10"/>
      <color rgb="FF3B3B3B"/>
      <name val="Arial"/>
      <family val="0"/>
      <charset val="1"/>
    </font>
    <font>
      <sz val="11"/>
      <color rgb="FF3B3B3B"/>
      <name val="Arial"/>
      <family val="0"/>
      <charset val="1"/>
    </font>
    <font>
      <sz val="13"/>
      <color rgb="FF3F4E39"/>
      <name val="Georgia"/>
      <family val="0"/>
      <charset val="1"/>
    </font>
    <font>
      <sz val="13"/>
      <color rgb="FF50614C"/>
      <name val="Georgia"/>
      <family val="0"/>
      <charset val="1"/>
    </font>
    <font>
      <sz val="9.5"/>
      <color rgb="FF7B3F49"/>
      <name val="Arial"/>
      <family val="0"/>
      <charset val="1"/>
    </font>
    <font>
      <b val="true"/>
      <sz val="14"/>
      <color rgb="FF5E7259"/>
      <name val="Georgia"/>
      <family val="0"/>
      <charset val="1"/>
    </font>
    <font>
      <b val="true"/>
      <sz val="16"/>
      <color rgb="FF5E7259"/>
      <name val="Arial"/>
      <family val="0"/>
      <charset val="1"/>
    </font>
    <font>
      <sz val="10"/>
      <color rgb="FF5E7259"/>
      <name val="Arial"/>
      <family val="0"/>
      <charset val="1"/>
    </font>
    <font>
      <b val="true"/>
      <sz val="8.5"/>
      <color rgb="FF4B5B47"/>
      <name val="Arial"/>
      <family val="0"/>
      <charset val="1"/>
    </font>
    <font>
      <b val="true"/>
      <sz val="8.5"/>
      <color rgb="FF7B3F49"/>
      <name val="Arial"/>
      <family val="0"/>
      <charset val="1"/>
    </font>
    <font>
      <sz val="24"/>
      <color rgb="FF4B5B47"/>
      <name val="Arial"/>
      <family val="0"/>
      <charset val="1"/>
    </font>
    <font>
      <sz val="24"/>
      <color rgb="FF7B3F49"/>
      <name val="Arial"/>
      <family val="0"/>
      <charset val="1"/>
    </font>
    <font>
      <sz val="21"/>
      <color rgb="FF4B5B47"/>
      <name val="Arial"/>
      <family val="0"/>
      <charset val="1"/>
    </font>
    <font>
      <i val="true"/>
      <sz val="9"/>
      <color rgb="FF807A75"/>
      <name val="Arial"/>
      <family val="0"/>
      <charset val="1"/>
    </font>
    <font>
      <sz val="8"/>
      <color rgb="FF5E7259"/>
      <name val="Arial"/>
      <family val="0"/>
      <charset val="1"/>
    </font>
    <font>
      <sz val="8"/>
      <color rgb="FF9A4F5B"/>
      <name val="Arial"/>
      <family val="0"/>
      <charset val="1"/>
    </font>
    <font>
      <b val="true"/>
      <sz val="9"/>
      <color rgb="FFB5473A"/>
      <name val="Arial"/>
      <family val="0"/>
      <charset val="1"/>
    </font>
    <font>
      <b val="true"/>
      <sz val="9"/>
      <color rgb="FF556750"/>
      <name val="Arial"/>
      <family val="0"/>
      <charset val="1"/>
    </font>
    <font>
      <sz val="10"/>
      <color rgb="FF3B3B3B"/>
      <name val="Arial"/>
      <family val="0"/>
      <charset val="1"/>
    </font>
    <font>
      <b val="true"/>
      <sz val="10"/>
      <color rgb="FF5E7259"/>
      <name val="Arial"/>
      <family val="0"/>
      <charset val="1"/>
    </font>
    <font>
      <b val="true"/>
      <sz val="12"/>
      <color rgb="FF3B3B3B"/>
      <name val="Arial"/>
      <family val="0"/>
      <charset val="1"/>
    </font>
    <font>
      <sz val="13"/>
      <color rgb="FF83434D"/>
      <name val="Georgia"/>
      <family val="0"/>
      <charset val="1"/>
    </font>
    <font>
      <b val="true"/>
      <sz val="9"/>
      <color rgb="FF8B4752"/>
      <name val="Arial"/>
      <family val="0"/>
      <charset val="1"/>
    </font>
    <font>
      <b val="true"/>
      <sz val="13"/>
      <color rgb="FF3B3B3B"/>
      <name val="Arial"/>
      <family val="0"/>
      <charset val="1"/>
    </font>
    <font>
      <i val="true"/>
      <sz val="10"/>
      <color rgb="FF807A7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46573F"/>
      <name val="Arial"/>
      <family val="0"/>
      <charset val="1"/>
    </font>
    <font>
      <b val="true"/>
      <sz val="10"/>
      <color rgb="FF9A4F5B"/>
      <name val="Arial"/>
      <family val="0"/>
      <charset val="1"/>
    </font>
    <font>
      <b val="true"/>
      <sz val="10"/>
      <color rgb="FF77716C"/>
      <name val="Arial"/>
      <family val="0"/>
      <charset val="1"/>
    </font>
    <font>
      <b val="true"/>
      <sz val="10"/>
      <color rgb="FF46573F"/>
      <name val="Arial"/>
      <family val="0"/>
      <charset val="1"/>
    </font>
    <font>
      <i val="true"/>
      <sz val="11"/>
      <color rgb="FF46573F"/>
      <name val="Georgia"/>
      <family val="0"/>
      <charset val="1"/>
    </font>
    <font>
      <b val="true"/>
      <sz val="9"/>
      <color rgb="FFFFFFFF"/>
      <name val="Arial"/>
      <family val="2"/>
    </font>
    <font>
      <sz val="9"/>
      <color rgb="FF3B3B3B"/>
      <name val="Arial"/>
      <family val="2"/>
    </font>
    <font>
      <sz val="22"/>
      <color rgb="FF50614C"/>
      <name val="Georgia"/>
      <family val="0"/>
      <charset val="1"/>
    </font>
    <font>
      <b val="true"/>
      <sz val="10"/>
      <color rgb="FFFFFFFF"/>
      <name val="Arial"/>
      <family val="0"/>
      <charset val="1"/>
    </font>
    <font>
      <sz val="14"/>
      <color rgb="FF50614C"/>
      <name val="Georgia"/>
      <family val="0"/>
      <charset val="1"/>
    </font>
    <font>
      <i val="true"/>
      <sz val="8.5"/>
      <color rgb="FF807A75"/>
      <name val="Arial"/>
      <family val="0"/>
      <charset val="1"/>
    </font>
    <font>
      <b val="true"/>
      <sz val="10"/>
      <color rgb="FF4B5B47"/>
      <name val="Arial"/>
      <family val="0"/>
      <charset val="1"/>
    </font>
    <font>
      <sz val="10"/>
      <color rgb="FF42503E"/>
      <name val="Arial"/>
      <family val="0"/>
      <charset val="1"/>
    </font>
    <font>
      <b val="true"/>
      <sz val="13"/>
      <color rgb="FF4B5B47"/>
      <name val="Arial"/>
      <family val="0"/>
      <charset val="1"/>
    </font>
    <font>
      <sz val="8.5"/>
      <color rgb="FF3B3B3B"/>
      <name val="Arial"/>
      <family val="2"/>
    </font>
    <font>
      <sz val="10"/>
      <color rgb="FF000000"/>
      <name val="Calibri"/>
      <family val="2"/>
    </font>
    <font>
      <b val="true"/>
      <sz val="12"/>
      <color rgb="FF4B5B47"/>
      <name val="Arial"/>
      <family val="0"/>
      <charset val="1"/>
    </font>
    <font>
      <sz val="11"/>
      <color rgb="FF46573F"/>
      <name val="Arial"/>
      <family val="0"/>
      <charset val="1"/>
    </font>
    <font>
      <sz val="22"/>
      <color rgb="FF83434D"/>
      <name val="Georgia"/>
      <family val="0"/>
      <charset val="1"/>
    </font>
    <font>
      <sz val="9"/>
      <color rgb="FF807A75"/>
      <name val="Arial"/>
      <family val="0"/>
      <charset val="1"/>
    </font>
    <font>
      <sz val="14"/>
      <color rgb="FF83434D"/>
      <name val="Georgia"/>
      <family val="0"/>
      <charset val="1"/>
    </font>
    <font>
      <sz val="10"/>
      <color rgb="FF6C3740"/>
      <name val="Arial"/>
      <family val="0"/>
      <charset val="1"/>
    </font>
    <font>
      <b val="true"/>
      <sz val="13"/>
      <color rgb="FF7B3F49"/>
      <name val="Arial"/>
      <family val="0"/>
      <charset val="1"/>
    </font>
    <font>
      <b val="true"/>
      <sz val="10"/>
      <color rgb="FF7B3F49"/>
      <name val="Arial"/>
      <family val="0"/>
      <charset val="1"/>
    </font>
    <font>
      <b val="true"/>
      <sz val="8.5"/>
      <color rgb="FF9A4F5B"/>
      <name val="Arial"/>
      <family val="0"/>
      <charset val="1"/>
    </font>
    <font>
      <sz val="16"/>
      <color rgb="FF743B44"/>
      <name val="Georgia"/>
      <family val="0"/>
      <charset val="1"/>
    </font>
    <font>
      <sz val="8"/>
      <color rgb="FF7C8774"/>
      <name val="Arial"/>
      <family val="0"/>
      <charset val="1"/>
    </font>
    <font>
      <i val="true"/>
      <sz val="10.5"/>
      <color rgb="FF743B44"/>
      <name val="Georgia"/>
      <family val="0"/>
      <charset val="1"/>
    </font>
    <font>
      <b val="true"/>
      <sz val="13"/>
      <color rgb="FF83434D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807A75"/>
      <name val="Arial"/>
      <family val="0"/>
      <charset val="1"/>
    </font>
    <font>
      <b val="true"/>
      <sz val="11"/>
      <color rgb="FF7B3F49"/>
      <name val="Arial"/>
      <family val="0"/>
      <charset val="1"/>
    </font>
    <font>
      <b val="true"/>
      <sz val="10"/>
      <color rgb="FF4F7A4A"/>
      <name val="Arial"/>
      <family val="0"/>
      <charset val="1"/>
    </font>
    <font>
      <b val="true"/>
      <sz val="10"/>
      <color rgb="FFB5473A"/>
      <name val="Arial"/>
      <family val="0"/>
      <charset val="1"/>
    </font>
    <font>
      <sz val="22"/>
      <color rgb="FF65605C"/>
      <name val="Georgia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FAF6F1"/>
        <bgColor rgb="FFF6F3ED"/>
      </patternFill>
    </fill>
    <fill>
      <patternFill patternType="solid">
        <fgColor rgb="FF46573F"/>
        <bgColor rgb="FF4B5B47"/>
      </patternFill>
    </fill>
    <fill>
      <patternFill patternType="solid">
        <fgColor rgb="FF5E7259"/>
        <bgColor rgb="FF556750"/>
      </patternFill>
    </fill>
    <fill>
      <patternFill patternType="solid">
        <fgColor rgb="FF9A4F5B"/>
        <bgColor rgb="FF8B4752"/>
      </patternFill>
    </fill>
    <fill>
      <patternFill patternType="solid">
        <fgColor rgb="FF77716C"/>
        <bgColor rgb="FF807A75"/>
      </patternFill>
    </fill>
    <fill>
      <patternFill patternType="solid">
        <fgColor rgb="FFE8E6DF"/>
        <bgColor rgb="FFE6E5DD"/>
      </patternFill>
    </fill>
    <fill>
      <patternFill patternType="solid">
        <fgColor rgb="FFEDE9E4"/>
        <bgColor rgb="FFEEEBE5"/>
      </patternFill>
    </fill>
    <fill>
      <patternFill patternType="solid">
        <fgColor rgb="FFFFFFFF"/>
        <bgColor rgb="FFFAF6F1"/>
      </patternFill>
    </fill>
    <fill>
      <patternFill patternType="solid">
        <fgColor rgb="FFF6F3ED"/>
        <bgColor rgb="FFF1F1F1"/>
      </patternFill>
    </fill>
    <fill>
      <patternFill patternType="solid">
        <fgColor rgb="FFEEEBE5"/>
        <bgColor rgb="FFEDE9E4"/>
      </patternFill>
    </fill>
    <fill>
      <patternFill patternType="solid">
        <fgColor rgb="FFEFEDE6"/>
        <bgColor rgb="FFEEEBE5"/>
      </patternFill>
    </fill>
    <fill>
      <patternFill patternType="solid">
        <fgColor rgb="FFF3EAE6"/>
        <bgColor rgb="FFF2E9E5"/>
      </patternFill>
    </fill>
    <fill>
      <patternFill patternType="solid">
        <fgColor rgb="FFEAE9E2"/>
        <bgColor rgb="FFEDE9E4"/>
      </patternFill>
    </fill>
    <fill>
      <patternFill patternType="solid">
        <fgColor rgb="FFE1E1D9"/>
        <bgColor rgb="FFDCE0DA"/>
      </patternFill>
    </fill>
    <fill>
      <patternFill patternType="solid">
        <fgColor rgb="FFE6E5DD"/>
        <bgColor rgb="FFE4E4DC"/>
      </patternFill>
    </fill>
    <fill>
      <patternFill patternType="solid">
        <fgColor rgb="FFF0E5E2"/>
        <bgColor rgb="FFF3E4DE"/>
      </patternFill>
    </fill>
    <fill>
      <patternFill patternType="solid">
        <fgColor rgb="FFEBDBD9"/>
        <bgColor rgb="FFE9D8DB"/>
      </patternFill>
    </fill>
    <fill>
      <patternFill patternType="solid">
        <fgColor rgb="FFF2E9E5"/>
        <bgColor rgb="FFF3EAE6"/>
      </patternFill>
    </fill>
    <fill>
      <patternFill patternType="solid">
        <fgColor rgb="FFEEE0DE"/>
        <bgColor rgb="FFF3E4DE"/>
      </patternFill>
    </fill>
    <fill>
      <patternFill patternType="solid">
        <fgColor rgb="FFF4ECE8"/>
        <bgColor rgb="FFF3EAE6"/>
      </patternFill>
    </fill>
    <fill>
      <patternFill patternType="solid">
        <fgColor rgb="FFE4E4DC"/>
        <bgColor rgb="FFE6E5DD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thin">
        <color rgb="FFFAF6F1"/>
      </left>
      <right style="thin">
        <color rgb="FFFAF6F1"/>
      </right>
      <top style="thin">
        <color rgb="FFFAF6F1"/>
      </top>
      <bottom style="thin">
        <color rgb="FFFAF6F1"/>
      </bottom>
      <diagonal/>
    </border>
    <border diagonalUp="false" diagonalDown="false">
      <left style="thin">
        <color rgb="FFFAF6F1"/>
      </left>
      <right style="thin">
        <color rgb="FFFAF6F1"/>
      </right>
      <top/>
      <bottom style="thin">
        <color rgb="FFFAF6F1"/>
      </bottom>
      <diagonal/>
    </border>
    <border diagonalUp="false" diagonalDown="false">
      <left/>
      <right/>
      <top/>
      <bottom style="medium">
        <color rgb="FFDFE5DA"/>
      </bottom>
      <diagonal/>
    </border>
    <border diagonalUp="false" diagonalDown="false">
      <left style="thin">
        <color rgb="FFDFE5DA"/>
      </left>
      <right style="thin">
        <color rgb="FFDFE5DA"/>
      </right>
      <top style="thin">
        <color rgb="FFDFE5DA"/>
      </top>
      <bottom style="thin">
        <color rgb="FFDFE5DA"/>
      </bottom>
      <diagonal/>
    </border>
    <border diagonalUp="false" diagonalDown="false">
      <left/>
      <right/>
      <top/>
      <bottom style="medium">
        <color rgb="FFC8D1C5"/>
      </bottom>
      <diagonal/>
    </border>
    <border diagonalUp="false" diagonalDown="false">
      <left/>
      <right/>
      <top/>
      <bottom style="medium">
        <color rgb="FF5E7259"/>
      </bottom>
      <diagonal/>
    </border>
    <border diagonalUp="false" diagonalDown="false">
      <left/>
      <right/>
      <top/>
      <bottom style="thin">
        <color rgb="FFECEFEB"/>
      </bottom>
      <diagonal/>
    </border>
    <border diagonalUp="false" diagonalDown="false">
      <left/>
      <right/>
      <top/>
      <bottom style="thin">
        <color rgb="FFD0D8C9"/>
      </bottom>
      <diagonal/>
    </border>
    <border diagonalUp="false" diagonalDown="false">
      <left/>
      <right/>
      <top style="thin">
        <color rgb="FFC8D1C5"/>
      </top>
      <bottom style="thin">
        <color rgb="FFC8D1C5"/>
      </bottom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5E7259"/>
      </top>
      <bottom/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9A4F5B"/>
      </top>
      <bottom/>
      <diagonal/>
    </border>
    <border diagonalUp="false" diagonalDown="false">
      <left style="thin">
        <color rgb="FFDDD6CC"/>
      </left>
      <right style="thin">
        <color rgb="FFDDD6CC"/>
      </right>
      <top/>
      <bottom/>
      <diagonal/>
    </border>
    <border diagonalUp="false" diagonalDown="false">
      <left style="thin">
        <color rgb="FFDDD6CC"/>
      </left>
      <right style="thin">
        <color rgb="FFDDD6CC"/>
      </right>
      <top/>
      <bottom style="thin">
        <color rgb="FFDDD6CC"/>
      </bottom>
      <diagonal/>
    </border>
    <border diagonalUp="false" diagonalDown="false">
      <left/>
      <right/>
      <top/>
      <bottom style="thin">
        <color rgb="FFDDD6CC"/>
      </bottom>
      <diagonal/>
    </border>
    <border diagonalUp="false" diagonalDown="false">
      <left/>
      <right/>
      <top/>
      <bottom style="medium">
        <color rgb="FF9A4F5B"/>
      </bottom>
      <diagonal/>
    </border>
    <border diagonalUp="false" diagonalDown="false">
      <left style="thin">
        <color rgb="FFBBC4B9"/>
      </left>
      <right style="thin">
        <color rgb="FFBBC4B9"/>
      </right>
      <top style="thin">
        <color rgb="FFBBC4B9"/>
      </top>
      <bottom style="thin">
        <color rgb="FFBBC4B9"/>
      </bottom>
      <diagonal/>
    </border>
    <border diagonalUp="false" diagonalDown="false">
      <left/>
      <right/>
      <top/>
      <bottom style="thin">
        <color rgb="FFDCE0DA"/>
      </bottom>
      <diagonal/>
    </border>
    <border diagonalUp="false" diagonalDown="false">
      <left/>
      <right/>
      <top style="thin">
        <color rgb="FFEAE9E2"/>
      </top>
      <bottom/>
      <diagonal/>
    </border>
    <border diagonalUp="false" diagonalDown="false">
      <left style="thick">
        <color rgb="FF5E7259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5E7259"/>
      </bottom>
      <diagonal/>
    </border>
    <border diagonalUp="false" diagonalDown="false">
      <left style="thin">
        <color rgb="FFECEFEB"/>
      </left>
      <right style="thin">
        <color rgb="FFECEFEB"/>
      </right>
      <top/>
      <bottom style="thin">
        <color rgb="FFDCE0DA"/>
      </bottom>
      <diagonal/>
    </border>
    <border diagonalUp="false" diagonalDown="false">
      <left/>
      <right/>
      <top/>
      <bottom style="thin">
        <color rgb="FFD7DCD6"/>
      </bottom>
      <diagonal/>
    </border>
    <border diagonalUp="false" diagonalDown="false">
      <left/>
      <right/>
      <top style="medium">
        <color rgb="FF5E7259"/>
      </top>
      <bottom/>
      <diagonal/>
    </border>
    <border diagonalUp="false" diagonalDown="false">
      <left style="thick">
        <color rgb="FF9A4F5B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9A4F5B"/>
      </bottom>
      <diagonal/>
    </border>
    <border diagonalUp="false" diagonalDown="false">
      <left style="thin">
        <color rgb="FFF3EAEB"/>
      </left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D5B5BA"/>
      </left>
      <right style="thin">
        <color rgb="FFD5B5BA"/>
      </right>
      <top style="thin">
        <color rgb="FFD5B5BA"/>
      </top>
      <bottom style="thin">
        <color rgb="FFD5B5BA"/>
      </bottom>
      <diagonal/>
    </border>
    <border diagonalUp="false" diagonalDown="false">
      <left/>
      <right/>
      <top/>
      <bottom style="thin">
        <color rgb="FFE6D3D6"/>
      </bottom>
      <diagonal/>
    </border>
    <border diagonalUp="false" diagonalDown="false">
      <left/>
      <right/>
      <top style="medium">
        <color rgb="FF9A4F5B"/>
      </top>
      <bottom/>
      <diagonal/>
    </border>
    <border diagonalUp="false" diagonalDown="false">
      <left style="double">
        <color rgb="FFD0D8C9"/>
      </left>
      <right style="double">
        <color rgb="FFD0D8C9"/>
      </right>
      <top style="double">
        <color rgb="FFD0D8C9"/>
      </top>
      <bottom/>
      <diagonal/>
    </border>
    <border diagonalUp="false" diagonalDown="false">
      <left style="double">
        <color rgb="FFD0D8C9"/>
      </left>
      <right style="double">
        <color rgb="FFD0D8C9"/>
      </right>
      <top/>
      <bottom/>
      <diagonal/>
    </border>
    <border diagonalUp="false" diagonalDown="false">
      <left style="double">
        <color rgb="FFD0D8C9"/>
      </left>
      <right style="double">
        <color rgb="FFD0D8C9"/>
      </right>
      <top/>
      <bottom style="double">
        <color rgb="FFD0D8C9"/>
      </bottom>
      <diagonal/>
    </border>
    <border diagonalUp="false" diagonalDown="false">
      <left/>
      <right/>
      <top/>
      <bottom style="thin">
        <color rgb="FFE9D8DB"/>
      </bottom>
      <diagonal/>
    </border>
    <border diagonalUp="false" diagonalDown="false">
      <left style="thin">
        <color rgb="FFF3EAEB"/>
      </left>
      <right/>
      <top/>
      <bottom style="thin">
        <color rgb="FFE9D8DB"/>
      </bottom>
      <diagonal/>
    </border>
    <border diagonalUp="false" diagonalDown="false">
      <left/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ECEFEB"/>
      </left>
      <right/>
      <top/>
      <bottom style="thin">
        <color rgb="FFDCE0DA"/>
      </bottom>
      <diagonal/>
    </border>
    <border diagonalUp="false" diagonalDown="false">
      <left/>
      <right style="thin">
        <color rgb="FFECEFEB"/>
      </right>
      <top/>
      <bottom style="thin">
        <color rgb="FFDCE0DA"/>
      </bottom>
      <diagonal/>
    </border>
    <border diagonalUp="false" diagonalDown="false">
      <left style="thick">
        <color rgb="FF77716C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77716C"/>
      </bottom>
      <diagonal/>
    </border>
    <border diagonalUp="false" diagonalDown="false">
      <left style="thin">
        <color rgb="FFC6C3C1"/>
      </left>
      <right style="thin">
        <color rgb="FFC6C3C1"/>
      </right>
      <top style="thin">
        <color rgb="FFC6C3C1"/>
      </top>
      <bottom style="thin">
        <color rgb="FFC6C3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7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5" fontId="8" fillId="3" borderId="0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10" fillId="3" borderId="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1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3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4" fillId="2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10" borderId="7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15" fillId="2" borderId="8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6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8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11" borderId="9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5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11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9" fillId="1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2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7" fontId="23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4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4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5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5" fontId="26" fillId="13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5" fontId="27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0" fillId="1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28" fillId="2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7" fontId="30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7" fontId="30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8" fontId="3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1" fontId="1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2" fillId="2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2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8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6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5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0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5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1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8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9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40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1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5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true"/>
    </xf>
    <xf numFmtId="164" fontId="3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14" borderId="19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47" fillId="2" borderId="21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8" fontId="48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72" fontId="29" fillId="9" borderId="16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72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8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8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6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5" fontId="11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11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12" fillId="9" borderId="16" xfId="0" applyFont="true" applyBorder="true" applyAlignment="true" applyProtection="true">
      <alignment horizontal="center" vertical="center" textRotation="0" wrapText="false" indent="1" shrinkToFit="true"/>
      <protection locked="false" hidden="false"/>
    </xf>
    <xf numFmtId="172" fontId="12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5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48" fillId="16" borderId="2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8" fillId="16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8" fillId="16" borderId="23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7" fontId="53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3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38" fillId="18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3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19" borderId="2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6" fontId="59" fillId="19" borderId="28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60" fillId="20" borderId="29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1" borderId="3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47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3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1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5" fillId="2" borderId="33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6" fontId="65" fillId="2" borderId="3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3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58" fillId="2" borderId="35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2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58" fillId="2" borderId="2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6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1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66" fillId="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7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8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8" fillId="4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9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5" fontId="68" fillId="4" borderId="2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5" fontId="29" fillId="2" borderId="16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5" fontId="56" fillId="2" borderId="16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29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56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53" fillId="22" borderId="23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49" fillId="2" borderId="3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49" fillId="2" borderId="1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9" fillId="2" borderId="3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5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5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75" fontId="29" fillId="2" borderId="16" xfId="0" applyFont="true" applyBorder="true" applyAlignment="true" applyProtection="true">
      <alignment horizontal="center" vertical="center" textRotation="0" wrapText="false" indent="1" shrinkToFit="false"/>
      <protection locked="true" hidden="true"/>
    </xf>
    <xf numFmtId="165" fontId="29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6" fontId="30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71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1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1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71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7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5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29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3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6" fontId="70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71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71" fontId="70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5" fontId="70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71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5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72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1" fontId="60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1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5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3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3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8" borderId="3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b val="1"/>
        <color rgb="FF4F7A4A"/>
      </font>
      <fill>
        <patternFill>
          <bgColor rgb="FFE6EFE3"/>
        </patternFill>
      </fill>
    </dxf>
    <dxf>
      <font>
        <b val="1"/>
        <color rgb="FFB5473A"/>
      </font>
      <fill>
        <patternFill>
          <bgColor rgb="FFF7E2DE"/>
        </patternFill>
      </fill>
    </dxf>
    <dxf>
      <font>
        <b val="1"/>
        <color rgb="FF4F7A4A"/>
      </font>
    </dxf>
    <dxf>
      <fill>
        <patternFill>
          <bgColor rgb="FFE6EFE3"/>
        </patternFill>
      </fill>
    </dxf>
    <dxf>
      <font>
        <b val="1"/>
        <color rgb="FF9A4F5B"/>
      </font>
      <fill>
        <patternFill>
          <bgColor rgb="FFF3E4DE"/>
        </patternFill>
      </fill>
    </dxf>
    <dxf>
      <font>
        <b val="1"/>
        <color rgb="FFB5473A"/>
      </font>
    </dxf>
    <dxf>
      <font>
        <i val="1"/>
        <color rgb="FF807A75"/>
      </font>
    </dxf>
    <dxf>
      <font>
        <color rgb="FF4F7A4A"/>
      </font>
    </dxf>
    <dxf>
      <font>
        <b val="1"/>
        <color rgb="FF9A4F5B"/>
      </font>
    </dxf>
    <dxf>
      <font>
        <b val="1"/>
        <color rgb="FF807A75"/>
      </font>
      <fill>
        <patternFill>
          <bgColor rgb="FFF1F1F1"/>
        </patternFill>
      </fill>
    </dxf>
    <dxf>
      <font>
        <strike val="1"/>
        <color rgb="FF807A75"/>
      </font>
    </dxf>
    <dxf>
      <font>
        <b val="1"/>
        <color rgb="FF46573F"/>
      </font>
    </dxf>
    <dxf>
      <font>
        <color rgb="FFA59F9A"/>
      </font>
    </dxf>
    <dxf>
      <font>
        <color rgb="FF807A75"/>
      </font>
    </dxf>
    <dxf>
      <fill>
        <patternFill>
          <bgColor rgb="FFF3E4DE"/>
        </patternFill>
      </fill>
    </dxf>
  </dxfs>
  <colors>
    <indexedColors>
      <rgbColor rgb="FF000000"/>
      <rgbColor rgb="FFFFFFFF"/>
      <rgbColor rgb="FFEAE9E2"/>
      <rgbColor rgb="FFE8E6DF"/>
      <rgbColor rgb="FFF3EAEB"/>
      <rgbColor rgb="FFF3E4DE"/>
      <rgbColor rgb="FFF7E2DE"/>
      <rgbColor rgb="FFE4E4DC"/>
      <rgbColor rgb="FFEDE9E4"/>
      <rgbColor rgb="FFEEE0DE"/>
      <rgbColor rgb="FFEFEDE6"/>
      <rgbColor rgb="FF5E7259"/>
      <rgbColor rgb="FF743B44"/>
      <rgbColor rgb="FF50614C"/>
      <rgbColor rgb="FFC6C3C1"/>
      <rgbColor rgb="FF807A75"/>
      <rgbColor rgb="FF728689"/>
      <rgbColor rgb="FF8B4752"/>
      <rgbColor rgb="FFFAF6F1"/>
      <rgbColor rgb="FFECEFEB"/>
      <rgbColor rgb="FF6C3740"/>
      <rgbColor rgb="FFE9D8DB"/>
      <rgbColor rgb="FFEBDBD9"/>
      <rgbColor rgb="FFD7DCD6"/>
      <rgbColor rgb="FFF4ECE8"/>
      <rgbColor rgb="FFF0E5E2"/>
      <rgbColor rgb="FFDFE5DA"/>
      <rgbColor rgb="FFE6E5DD"/>
      <rgbColor rgb="FF7B3F49"/>
      <rgbColor rgb="FFF2E9E5"/>
      <rgbColor rgb="FF556750"/>
      <rgbColor rgb="FFF3EAE6"/>
      <rgbColor rgb="FFE1E1D9"/>
      <rgbColor rgb="FFF1F1F1"/>
      <rgbColor rgb="FFE6EFE3"/>
      <rgbColor rgb="FFF6F3ED"/>
      <rgbColor rgb="FFBBC4B9"/>
      <rgbColor rgb="FFE6D3D6"/>
      <rgbColor rgb="FFD5B5BA"/>
      <rgbColor rgb="FFF3D5D0"/>
      <rgbColor rgb="FF65605C"/>
      <rgbColor rgb="FFDCE0DA"/>
      <rgbColor rgb="FFC8D1C5"/>
      <rgbColor rgb="FFDDD6CC"/>
      <rgbColor rgb="FFD0D8C9"/>
      <rgbColor rgb="FF9A4F5B"/>
      <rgbColor rgb="FF77716C"/>
      <rgbColor rgb="FFA59F9A"/>
      <rgbColor rgb="FF4B5B47"/>
      <rgbColor rgb="FF4F7A4A"/>
      <rgbColor rgb="FFEEEBE5"/>
      <rgbColor rgb="FF404F3B"/>
      <rgbColor rgb="FFB5473A"/>
      <rgbColor rgb="FF83434D"/>
      <rgbColor rgb="FF46573F"/>
      <rgbColor rgb="FF3B3B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8" Type="http://schemas.openxmlformats.org/officeDocument/2006/relationships/worksheet" Target="worksheets/sheet6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Dashboard!$AA$31:$AA$33</c:f>
              <c:strCache>
                <c:ptCount val="3"/>
                <c:pt idx="0">
                  <c:v>Paid so far</c:v>
                </c:pt>
                <c:pt idx="1">
                  <c:v>Left to pay</c:v>
                </c:pt>
                <c:pt idx="2">
                  <c:v>Not committed yet</c:v>
                </c:pt>
              </c:strCache>
            </c:strRef>
          </c:cat>
          <c:val>
            <c:numRef>
              <c:f>Dashboard!$AB$31:$AB$33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Dashboard!$AA$41:$AA$43</c:f>
              <c:strCache>
                <c:ptCount val="3"/>
                <c:pt idx="0">
                  <c:v>Attending</c:v>
                </c:pt>
                <c:pt idx="1">
                  <c:v>Awaiting reply</c:v>
                </c:pt>
                <c:pt idx="2">
                  <c:v>Declined</c:v>
                </c:pt>
              </c:strCache>
            </c:strRef>
          </c:cat>
          <c:val>
            <c:numRef>
              <c:f>Dashboard!$AB$41:$AB$43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"Planned (or suggested)"</c:f>
              <c:strCache>
                <c:ptCount val="1"/>
                <c:pt idx="0">
                  <c:v>Planned (or suggested)</c:v>
                </c:pt>
              </c:strCache>
            </c:strRef>
          </c:tx>
          <c:spPr>
            <a:solidFill>
              <a:srgbClr val="c7cec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Budget!$B$7:$B$27</c:f>
              <c:strCache>
                <c:ptCount val="21"/>
                <c:pt idx="0">
                  <c:v>Venue hire</c:v>
                </c:pt>
                <c:pt idx="1">
                  <c:v>Catering &amp; drinks</c:v>
                </c:pt>
                <c:pt idx="2">
                  <c:v>Photographer</c:v>
                </c:pt>
                <c:pt idx="3">
                  <c:v>Videographer</c:v>
                </c:pt>
                <c:pt idx="4">
                  <c:v>Band / DJ</c:v>
                </c:pt>
                <c:pt idx="5">
                  <c:v>Flowers &amp; décor</c:v>
                </c:pt>
                <c:pt idx="6">
                  <c:v>Dress &amp; accessories</c:v>
                </c:pt>
                <c:pt idx="7">
                  <c:v>Suit &amp; accessories</c:v>
                </c:pt>
                <c:pt idx="8">
                  <c:v>Wedding rings</c:v>
                </c:pt>
                <c:pt idx="9">
                  <c:v>Hair &amp; make-up</c:v>
                </c:pt>
                <c:pt idx="10">
                  <c:v>Stationery</c:v>
                </c:pt>
                <c:pt idx="11">
                  <c:v>Wedding cake</c:v>
                </c:pt>
                <c:pt idx="12">
                  <c:v>Ceremony &amp; registrar fees</c:v>
                </c:pt>
                <c:pt idx="13">
                  <c:v>Evening food</c:v>
                </c:pt>
                <c:pt idx="14">
                  <c:v>Transport</c:v>
                </c:pt>
                <c:pt idx="15">
                  <c:v>Entertainment &amp; toastmaster</c:v>
                </c:pt>
                <c:pt idx="16">
                  <c:v>Favours &amp; thank-you gifts</c:v>
                </c:pt>
                <c:pt idx="17">
                  <c:v>Accommodation &amp; wedding night</c:v>
                </c:pt>
                <c:pt idx="18">
                  <c:v>Day-after brunch</c:v>
                </c:pt>
                <c:pt idx="19">
                  <c:v>Honeymoon</c:v>
                </c:pt>
                <c:pt idx="20">
                  <c:v>Contingency</c:v>
                </c:pt>
              </c:strCache>
            </c:strRef>
          </c:cat>
          <c:val>
            <c:numRef>
              <c:f>Budget!$AM$7:$AM$27</c:f>
              <c:numCache>
                <c:formatCode>#,##0" €";\-#,##0" €";\–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"Actual cost"</c:f>
              <c:strCache>
                <c:ptCount val="1"/>
                <c:pt idx="0">
                  <c:v>Actual cost</c:v>
                </c:pt>
              </c:strCache>
            </c:strRef>
          </c:tx>
          <c:spPr>
            <a:solidFill>
              <a:srgbClr val="5e72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Budget!$B$7:$B$27</c:f>
              <c:strCache>
                <c:ptCount val="21"/>
                <c:pt idx="0">
                  <c:v>Venue hire</c:v>
                </c:pt>
                <c:pt idx="1">
                  <c:v>Catering &amp; drinks</c:v>
                </c:pt>
                <c:pt idx="2">
                  <c:v>Photographer</c:v>
                </c:pt>
                <c:pt idx="3">
                  <c:v>Videographer</c:v>
                </c:pt>
                <c:pt idx="4">
                  <c:v>Band / DJ</c:v>
                </c:pt>
                <c:pt idx="5">
                  <c:v>Flowers &amp; décor</c:v>
                </c:pt>
                <c:pt idx="6">
                  <c:v>Dress &amp; accessories</c:v>
                </c:pt>
                <c:pt idx="7">
                  <c:v>Suit &amp; accessories</c:v>
                </c:pt>
                <c:pt idx="8">
                  <c:v>Wedding rings</c:v>
                </c:pt>
                <c:pt idx="9">
                  <c:v>Hair &amp; make-up</c:v>
                </c:pt>
                <c:pt idx="10">
                  <c:v>Stationery</c:v>
                </c:pt>
                <c:pt idx="11">
                  <c:v>Wedding cake</c:v>
                </c:pt>
                <c:pt idx="12">
                  <c:v>Ceremony &amp; registrar fees</c:v>
                </c:pt>
                <c:pt idx="13">
                  <c:v>Evening food</c:v>
                </c:pt>
                <c:pt idx="14">
                  <c:v>Transport</c:v>
                </c:pt>
                <c:pt idx="15">
                  <c:v>Entertainment &amp; toastmaster</c:v>
                </c:pt>
                <c:pt idx="16">
                  <c:v>Favours &amp; thank-you gifts</c:v>
                </c:pt>
                <c:pt idx="17">
                  <c:v>Accommodation &amp; wedding night</c:v>
                </c:pt>
                <c:pt idx="18">
                  <c:v>Day-after brunch</c:v>
                </c:pt>
                <c:pt idx="19">
                  <c:v>Honeymoon</c:v>
                </c:pt>
                <c:pt idx="20">
                  <c:v>Contingency</c:v>
                </c:pt>
              </c:strCache>
            </c:strRef>
          </c:cat>
          <c:val>
            <c:numRef>
              <c:f>Budget!$R$7:$R$27</c:f>
              <c:numCache>
                <c:formatCode>General</c:formatCode>
                <c:ptCount val="21"/>
              </c:numCache>
            </c:numRef>
          </c:val>
        </c:ser>
        <c:gapWidth val="60"/>
        <c:overlap val="0"/>
        <c:axId val="41169864"/>
        <c:axId val="60138569"/>
      </c:barChart>
      <c:catAx>
        <c:axId val="41169864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850" spc="-1" strike="noStrike">
                <a:solidFill>
                  <a:srgbClr val="3b3b3b"/>
                </a:solidFill>
                <a:latin typeface="Arial"/>
              </a:defRPr>
            </a:pPr>
          </a:p>
        </c:txPr>
        <c:crossAx val="60138569"/>
        <c:crosses val="autoZero"/>
        <c:auto val="1"/>
        <c:lblAlgn val="ctr"/>
        <c:lblOffset val="100"/>
        <c:noMultiLvlLbl val="0"/>
      </c:catAx>
      <c:valAx>
        <c:axId val="6013856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169864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44</xdr:row>
      <xdr:rowOff>0</xdr:rowOff>
    </xdr:from>
    <xdr:to>
      <xdr:col>10</xdr:col>
      <xdr:colOff>721440</xdr:colOff>
      <xdr:row>54</xdr:row>
      <xdr:rowOff>127440</xdr:rowOff>
    </xdr:to>
    <xdr:graphicFrame>
      <xdr:nvGraphicFramePr>
        <xdr:cNvPr id="0" name="Chart 1"/>
        <xdr:cNvGraphicFramePr/>
      </xdr:nvGraphicFramePr>
      <xdr:xfrm>
        <a:off x="181080" y="13192200"/>
        <a:ext cx="5615280" cy="237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44</xdr:row>
      <xdr:rowOff>0</xdr:rowOff>
    </xdr:from>
    <xdr:to>
      <xdr:col>23</xdr:col>
      <xdr:colOff>379800</xdr:colOff>
      <xdr:row>54</xdr:row>
      <xdr:rowOff>127440</xdr:rowOff>
    </xdr:to>
    <xdr:graphicFrame>
      <xdr:nvGraphicFramePr>
        <xdr:cNvPr id="1" name="Chart 2"/>
        <xdr:cNvGraphicFramePr/>
      </xdr:nvGraphicFramePr>
      <xdr:xfrm>
        <a:off x="6364080" y="13192200"/>
        <a:ext cx="5615280" cy="237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0</xdr:colOff>
      <xdr:row>98</xdr:row>
      <xdr:rowOff>0</xdr:rowOff>
    </xdr:from>
    <xdr:to>
      <xdr:col>22</xdr:col>
      <xdr:colOff>290520</xdr:colOff>
      <xdr:row>98</xdr:row>
      <xdr:rowOff>475560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9565560" y="31241880"/>
          <a:ext cx="1599480" cy="475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51</xdr:row>
      <xdr:rowOff>0</xdr:rowOff>
    </xdr:from>
    <xdr:to>
      <xdr:col>23</xdr:col>
      <xdr:colOff>84240</xdr:colOff>
      <xdr:row>75</xdr:row>
      <xdr:rowOff>107280</xdr:rowOff>
    </xdr:to>
    <xdr:graphicFrame>
      <xdr:nvGraphicFramePr>
        <xdr:cNvPr id="3" name="Chart 1"/>
        <xdr:cNvGraphicFramePr/>
      </xdr:nvGraphicFramePr>
      <xdr:xfrm>
        <a:off x="181080" y="17783280"/>
        <a:ext cx="11879280" cy="46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
<Relationship Id="rIdE1" Type="http://schemas.openxmlformats.org/officeDocument/2006/relationships/hyperlink" Target="https://joliplanstudio.etsy.com/fr/listing/4602243958/uk-wedding-planner-spreadsheet-excel" TargetMode="External"/><Relationship Id="rIdE2" Type="http://schemas.openxmlformats.org/officeDocument/2006/relationships/hyperlink" Target="https://joliplanstudio.etsy.com/fr/listing/4602243958/uk-wedding-planner-spreadsheet-excel" TargetMode="External"/><Relationship Id="rIdE3" Type="http://schemas.openxmlformats.org/officeDocument/2006/relationships/hyperlink" Target="https://joliplanstudio.etsy.com/fr/listing/4602243958/uk-wedding-planner-spreadsheet-excel" TargetMode="External"/><Relationship Id="rIdE4" Type="http://schemas.openxmlformats.org/officeDocument/2006/relationships/hyperlink" Target="https://joliplanstudio.etsy.com/fr/listing/4602243958/uk-wedding-planner-spreadsheet-excel" TargetMode="External"/><Relationship Id="rIdE5" Type="http://schemas.openxmlformats.org/officeDocument/2006/relationships/hyperlink" Target="https://joliplanstudio.etsy.com/fr/listing/4602243958/uk-wedding-planner-spreadsheet-excel" TargetMode="External"/><Relationship Id="rIdE6" Type="http://schemas.openxmlformats.org/officeDocument/2006/relationships/hyperlink" Target="https://joliplanstudio.etsy.com/fr/listing/4602243958/uk-wedding-planner-spreadsheet-excel" TargetMode="External"/><Relationship Id="rIdE7" Type="http://schemas.openxmlformats.org/officeDocument/2006/relationships/hyperlink" Target="https://joliplanstudio.etsy.com/fr/listing/4602243958/uk-wedding-planner-spreadsheet-excel" TargetMode="External"/><Relationship Id="rIdE8" Type="http://schemas.openxmlformats.org/officeDocument/2006/relationships/hyperlink" Target="https://joliplanstudio.etsy.com/fr/listing/4602243958/uk-wedding-planner-spreadsheet-excel" TargetMode="External"/><Relationship Id="rIdE9" Type="http://schemas.openxmlformats.org/officeDocument/2006/relationships/hyperlink" Target="https://joliplanstudio.etsy.com/fr/listing/4602243958/uk-wedding-planner-spreadsheet-excel" TargetMode="External"/><Relationship Id="rIdE10" Type="http://schemas.openxmlformats.org/officeDocument/2006/relationships/hyperlink" Target="https://joliplanstudio.etsy.com/fr/listing/4602243958/uk-wedding-planner-spreadsheet-excel" TargetMode="External"/><Relationship Id="rIdE11" Type="http://schemas.openxmlformats.org/officeDocument/2006/relationships/hyperlink" Target="https://joliplanstudio.etsy.com/fr/listing/4602243958/uk-wedding-planner-spreadsheet-excel" TargetMode="External"/><Relationship Id="rIdE12" Type="http://schemas.openxmlformats.org/officeDocument/2006/relationships/hyperlink" Target="https://joliplanstudio.etsy.com/fr/listing/4602243958/uk-wedding-planner-spreadsheet-excel" TargetMode="External"/><Relationship Id="rIdE13" Type="http://schemas.openxmlformats.org/officeDocument/2006/relationships/hyperlink" Target="https://joliplanstudio.etsy.com/fr/listing/4602243958/uk-wedding-planner-spreadsheet-excel" TargetMode="External"/><Relationship Id="rIdE14" Type="http://schemas.openxmlformats.org/officeDocument/2006/relationships/hyperlink" Target="https://joliplanstudio.etsy.com/fr/listing/4602243958/uk-wedding-planner-spreadsheet-excel" TargetMode="External"/><Relationship Id="rIdE15" Type="http://schemas.openxmlformats.org/officeDocument/2006/relationships/hyperlink" Target="https://joliplanstudio.etsy.com/fr/listing/4602243958/uk-wedding-planner-spreadsheet-excel" TargetMode="External"/><Relationship Id="rIdE16" Type="http://schemas.openxmlformats.org/officeDocument/2006/relationships/hyperlink" Target="https://joliplanstudio.etsy.com/fr/listing/4602243958/uk-wedding-planner-spreadsheet-excel" TargetMode="External"/><Relationship Id="rIdE17" Type="http://schemas.openxmlformats.org/officeDocument/2006/relationships/hyperlink" Target="https://joliplanstudio.etsy.com/fr/listing/4602243958/uk-wedding-planner-spreadsheet-excel" TargetMode="External"/><Relationship Id="rIdE18" Type="http://schemas.openxmlformats.org/officeDocument/2006/relationships/hyperlink" Target="https://joliplanstudio.etsy.com/fr/listing/4602243958/uk-wedding-planner-spreadsheet-excel" TargetMode="External"/><Relationship Id="rIdE19" Type="http://schemas.openxmlformats.org/officeDocument/2006/relationships/hyperlink" Target="https://joliplanstudio.etsy.com/fr/listing/4602243958/uk-wedding-planner-spreadsheet-excel" TargetMode="External"/><Relationship Id="rIdE20" Type="http://schemas.openxmlformats.org/officeDocument/2006/relationships/hyperlink" Target="https://joliplanstudio.etsy.com/fr/listing/4602243958/uk-wedding-planner-spreadsheet-excel" TargetMode="External"/><Relationship Id="rIdE21" Type="http://schemas.openxmlformats.org/officeDocument/2006/relationships/hyperlink" Target="https://joliplanstudio.etsy.com/fr/listing/4602243958/uk-wedding-planner-spreadsheet-excel" TargetMode="External"/><Relationship Id="rIdE22" Type="http://schemas.openxmlformats.org/officeDocument/2006/relationships/hyperlink" Target="https://joliplanstudio.etsy.com/fr/listing/4602243958/uk-wedding-planner-spreadsheet-excel" TargetMode="External"/><Relationship Id="rIdE23" Type="http://schemas.openxmlformats.org/officeDocument/2006/relationships/hyperlink" Target="https://joliplanstudio.etsy.com/fr/listing/4602243958/uk-wedding-planner-spreadsheet-excel" TargetMode="External"/><Relationship Id="rIdE24" Type="http://schemas.openxmlformats.org/officeDocument/2006/relationships/hyperlink" Target="https://joliplanstudio.etsy.com/fr/listing/4602243958/uk-wedding-planner-spreadsheet-excel" TargetMode="External"/><Relationship Id="rIdE25" Type="http://schemas.openxmlformats.org/officeDocument/2006/relationships/hyperlink" Target="https://joliplanstudio.etsy.com/fr/listing/4602243958/uk-wedding-planner-spreadsheet-excel" TargetMode="External"/><Relationship Id="rIdE26" Type="http://schemas.openxmlformats.org/officeDocument/2006/relationships/hyperlink" Target="https://joliplanstudio.etsy.com/fr/listing/4602243958/uk-wedding-planner-spreadsheet-excel" TargetMode="External"/><Relationship Id="rIdE27" Type="http://schemas.openxmlformats.org/officeDocument/2006/relationships/hyperlink" Target="https://joliplanstudio.etsy.com/fr/listing/4602243958/uk-wedding-planner-spreadsheet-excel" TargetMode="External"/><Relationship Id="rIdE28" Type="http://schemas.openxmlformats.org/officeDocument/2006/relationships/hyperlink" Target="https://joliplanstudio.etsy.com/fr/listing/4602243958/uk-wedding-planner-spreadsheet-excel" TargetMode="External"/><Relationship Id="rIdE29" Type="http://schemas.openxmlformats.org/officeDocument/2006/relationships/hyperlink" Target="https://joliplanstudio.etsy.com/fr/listing/4602243958/uk-wedding-planner-spreadsheet-excel" TargetMode="External"/><Relationship Id="rIdE30" Type="http://schemas.openxmlformats.org/officeDocument/2006/relationships/hyperlink" Target="https://joliplanstudio.etsy.com/fr/listing/4602243958/uk-wedding-planner-spreadsheet-excel" TargetMode="External"/><Relationship Id="rIdE31" Type="http://schemas.openxmlformats.org/officeDocument/2006/relationships/hyperlink" Target="https://joliplanstudio.etsy.com/fr/listing/4602243958/uk-wedding-planner-spreadsheet-excel" TargetMode="External"/><Relationship Id="rIdE32" Type="http://schemas.openxmlformats.org/officeDocument/2006/relationships/hyperlink" Target="https://joliplanstudio.etsy.com/fr/listing/4602243958/uk-wedding-planner-spreadsheet-excel" TargetMode="External"/><Relationship Id="rIdE33" Type="http://schemas.openxmlformats.org/officeDocument/2006/relationships/hyperlink" Target="https://joliplanstudio.etsy.com/fr/listing/4602243958/uk-wedding-planner-spreadsheet-excel" TargetMode="External"/><Relationship Id="rIdE34" Type="http://schemas.openxmlformats.org/officeDocument/2006/relationships/hyperlink" Target="https://joliplanstudio.etsy.com/fr/listing/4602243958/uk-wedding-planner-spreadsheet-excel" TargetMode="External"/><Relationship Id="rIdE35" Type="http://schemas.openxmlformats.org/officeDocument/2006/relationships/hyperlink" Target="https://joliplanstudio.etsy.com/fr/listing/4602243958/uk-wedding-planner-spreadsheet-excel" TargetMode="External"/><Relationship Id="rIdE36" Type="http://schemas.openxmlformats.org/officeDocument/2006/relationships/hyperlink" Target="https://joliplanstudio.etsy.com/fr/listing/4602243958/uk-wedding-planner-spreadsheet-excel" TargetMode="External"/><Relationship Id="rIdE37" Type="http://schemas.openxmlformats.org/officeDocument/2006/relationships/hyperlink" Target="https://joliplanstudio.etsy.com/fr/listing/4602243958/uk-wedding-planner-spreadsheet-excel" TargetMode="External"/><Relationship Id="rIdE38" Type="http://schemas.openxmlformats.org/officeDocument/2006/relationships/hyperlink" Target="https://joliplanstudio.etsy.com/fr/listing/4602243958/uk-wedding-planner-spreadsheet-excel" TargetMode="External"/><Relationship Id="rIdE39" Type="http://schemas.openxmlformats.org/officeDocument/2006/relationships/hyperlink" Target="https://joliplanstudio.etsy.com/fr/listing/4602243958/uk-wedding-planner-spreadsheet-excel" TargetMode="External"/><Relationship Id="rIdE40" Type="http://schemas.openxmlformats.org/officeDocument/2006/relationships/hyperlink" Target="https://joliplanstudio.etsy.com/fr/listing/4602243958/uk-wedding-planner-spreadsheet-excel" TargetMode="External"/><Relationship Id="rIdE41" Type="http://schemas.openxmlformats.org/officeDocument/2006/relationships/hyperlink" Target="https://joliplanstudio.etsy.com/fr/listing/4602243958/uk-wedding-planner-spreadsheet-excel" TargetMode="External"/><Relationship Id="rIdE42" Type="http://schemas.openxmlformats.org/officeDocument/2006/relationships/hyperlink" Target="https://joliplanstudio.etsy.com/fr/listing/4602243958/uk-wedding-planner-spreadsheet-excel" TargetMode="External"/><Relationship Id="rIdE43" Type="http://schemas.openxmlformats.org/officeDocument/2006/relationships/hyperlink" Target="https://joliplanstudio.etsy.com/fr/listing/4602243958/uk-wedding-planner-spreadsheet-excel" TargetMode="External"/><Relationship Id="rIdE44" Type="http://schemas.openxmlformats.org/officeDocument/2006/relationships/hyperlink" Target="https://joliplanstudio.etsy.com/fr/listing/4602243958/uk-wedding-planner-spreadsheet-excel" TargetMode="External"/><Relationship Id="rIdE45" Type="http://schemas.openxmlformats.org/officeDocument/2006/relationships/hyperlink" Target="https://joliplanstudio.etsy.com/fr/listing/4602243958/uk-wedding-planner-spreadsheet-excel" TargetMode="External"/><Relationship Id="rIdE46" Type="http://schemas.openxmlformats.org/officeDocument/2006/relationships/hyperlink" Target="https://joliplanstudio.etsy.com/fr/listing/4602243958/uk-wedding-planner-spreadsheet-excel" TargetMode="External"/><Relationship Id="rIdE47" Type="http://schemas.openxmlformats.org/officeDocument/2006/relationships/hyperlink" Target="https://joliplanstudio.etsy.com/fr/listing/4602243958/uk-wedding-planner-spreadsheet-excel" TargetMode="External"/><Relationship Id="rIdE48" Type="http://schemas.openxmlformats.org/officeDocument/2006/relationships/hyperlink" Target="https://joliplanstudio.etsy.com/fr/listing/4602243958/uk-wedding-planner-spreadsheet-excel" TargetMode="External"/><Relationship Id="rIdE49" Type="http://schemas.openxmlformats.org/officeDocument/2006/relationships/hyperlink" Target="https://joliplanstudio.etsy.com/fr/listing/4602243958/uk-wedding-planner-spreadsheet-excel" TargetMode="External"/><Relationship Id="rIdE50" Type="http://schemas.openxmlformats.org/officeDocument/2006/relationships/hyperlink" Target="https://joliplanstudio.etsy.com/fr/listing/4602243958/uk-wedding-planner-spreadsheet-excel" TargetMode="External"/><Relationship Id="rIdE51" Type="http://schemas.openxmlformats.org/officeDocument/2006/relationships/hyperlink" Target="https://joliplanstudio.etsy.com/fr/listing/4602243958/uk-wedding-planner-spreadsheet-excel" TargetMode="External"/><Relationship Id="rIdE52" Type="http://schemas.openxmlformats.org/officeDocument/2006/relationships/hyperlink" Target="https://joliplanstudio.etsy.com/fr/listing/4602243958/uk-wedding-planner-spreadsheet-excel" TargetMode="External"/><Relationship Id="rIdE53" Type="http://schemas.openxmlformats.org/officeDocument/2006/relationships/hyperlink" Target="https://joliplanstudio.etsy.com/fr/listing/4602243958/uk-wedding-planner-spreadsheet-excel" TargetMode="External"/><Relationship Id="rIdE54" Type="http://schemas.openxmlformats.org/officeDocument/2006/relationships/hyperlink" Target="https://joliplanstudio.etsy.com/fr/listing/4602243958/uk-wedding-planner-spreadsheet-excel" TargetMode="External"/><Relationship Id="rIdE55" Type="http://schemas.openxmlformats.org/officeDocument/2006/relationships/hyperlink" Target="https://joliplanstudio.etsy.com/fr/listing/4602243958/uk-wedding-planner-spreadsheet-excel" TargetMode="External"/><Relationship Id="rIdE56" Type="http://schemas.openxmlformats.org/officeDocument/2006/relationships/hyperlink" Target="https://joliplanstudio.etsy.com/fr/listing/4602243958/uk-wedding-planner-spreadsheet-excel" TargetMode="External"/><Relationship Id="rIdE57" Type="http://schemas.openxmlformats.org/officeDocument/2006/relationships/hyperlink" Target="https://joliplanstudio.etsy.com/fr/listing/4602243958/uk-wedding-planner-spreadsheet-excel" TargetMode="External"/><Relationship Id="rIdE58" Type="http://schemas.openxmlformats.org/officeDocument/2006/relationships/hyperlink" Target="https://joliplanstudio.etsy.com/fr/listing/4602243958/uk-wedding-planner-spreadsheet-excel" TargetMode="Externa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
<Relationship Id="rIdE1" Type="http://schemas.openxmlformats.org/officeDocument/2006/relationships/hyperlink" Target="https://joliplanstudio.etsy.com/fr/listing/4602243958/uk-wedding-planner-spreadsheet-excel" TargetMode="External"/><Relationship Id="rIdE2" Type="http://schemas.openxmlformats.org/officeDocument/2006/relationships/hyperlink" Target="https://joliplanstudio.etsy.com/fr/listing/4602243958/uk-wedding-planner-spreadsheet-excel" TargetMode="External"/><Relationship Id="rIdE3" Type="http://schemas.openxmlformats.org/officeDocument/2006/relationships/hyperlink" Target="https://joliplanstudio.etsy.com/fr/listing/4602243958/uk-wedding-planner-spreadsheet-excel" TargetMode="External"/><Relationship Id="rIdE4" Type="http://schemas.openxmlformats.org/officeDocument/2006/relationships/hyperlink" Target="https://joliplanstudio.etsy.com/fr/listing/4602243958/uk-wedding-planner-spreadsheet-excel" TargetMode="External"/><Relationship Id="rIdE5" Type="http://schemas.openxmlformats.org/officeDocument/2006/relationships/hyperlink" Target="https://joliplanstudio.etsy.com/fr/listing/4602243958/uk-wedding-planner-spreadsheet-excel" TargetMode="External"/><Relationship Id="rIdE6" Type="http://schemas.openxmlformats.org/officeDocument/2006/relationships/hyperlink" Target="https://joliplanstudio.etsy.com/fr/listing/4602243958/uk-wedding-planner-spreadsheet-excel" TargetMode="External"/><Relationship Id="rIdE7" Type="http://schemas.openxmlformats.org/officeDocument/2006/relationships/hyperlink" Target="https://joliplanstudio.etsy.com/fr/listing/4602243958/uk-wedding-planner-spreadsheet-excel" TargetMode="External"/><Relationship Id="rIdE8" Type="http://schemas.openxmlformats.org/officeDocument/2006/relationships/hyperlink" Target="https://joliplanstudio.etsy.com/fr/listing/4602243958/uk-wedding-planner-spreadsheet-excel" TargetMode="External"/><Relationship Id="rIdE9" Type="http://schemas.openxmlformats.org/officeDocument/2006/relationships/hyperlink" Target="https://joliplanstudio.etsy.com/fr/listing/4602243958/uk-wedding-planner-spreadsheet-excel" TargetMode="External"/><Relationship Id="rIdE10" Type="http://schemas.openxmlformats.org/officeDocument/2006/relationships/hyperlink" Target="https://joliplanstudio.etsy.com/fr/listing/4602243958/uk-wedding-planner-spreadsheet-excel" TargetMode="External"/><Relationship Id="rIdE11" Type="http://schemas.openxmlformats.org/officeDocument/2006/relationships/hyperlink" Target="https://joliplanstudio.etsy.com/fr/listing/4602243958/uk-wedding-planner-spreadsheet-excel" TargetMode="External"/><Relationship Id="rIdE12" Type="http://schemas.openxmlformats.org/officeDocument/2006/relationships/hyperlink" Target="https://joliplanstudio.etsy.com/fr/listing/4602243958/uk-wedding-planner-spreadsheet-excel" TargetMode="External"/><Relationship Id="rIdE13" Type="http://schemas.openxmlformats.org/officeDocument/2006/relationships/hyperlink" Target="https://joliplanstudio.etsy.com/fr/listing/4602243958/uk-wedding-planner-spreadsheet-excel" TargetMode="External"/><Relationship Id="rIdE14" Type="http://schemas.openxmlformats.org/officeDocument/2006/relationships/hyperlink" Target="https://joliplanstudio.etsy.com/fr/listing/4602243958/uk-wedding-planner-spreadsheet-excel" TargetMode="External"/><Relationship Id="rIdE15" Type="http://schemas.openxmlformats.org/officeDocument/2006/relationships/hyperlink" Target="https://joliplanstudio.etsy.com/fr/listing/4602243958/uk-wedding-planner-spreadsheet-excel" TargetMode="External"/><Relationship Id="rIdE16" Type="http://schemas.openxmlformats.org/officeDocument/2006/relationships/hyperlink" Target="https://joliplanstudio.etsy.com/fr/listing/4602243958/uk-wedding-planner-spreadsheet-excel" TargetMode="External"/><Relationship Id="rIdE17" Type="http://schemas.openxmlformats.org/officeDocument/2006/relationships/hyperlink" Target="https://joliplanstudio.etsy.com/fr/listing/4602243958/uk-wedding-planner-spreadsheet-excel" TargetMode="External"/></Relationships>
</file>

<file path=xl/worksheets/_rels/sheet6.xml.rels><?xml version='1.0' encoding='UTF-8' standalone='yes'?>
<Relationships xmlns="http://schemas.openxmlformats.org/package/2006/relationships"><Relationship Id="rIdE1" Type="http://schemas.openxmlformats.org/officeDocument/2006/relationships/hyperlink" Target="https://joliplanstudio.etsy.com/fr/listing/4602243958/uk-wedding-planner-spreadsheet-excel" TargetMode="External"/><Relationship Id="rIdE2" Type="http://schemas.openxmlformats.org/officeDocument/2006/relationships/hyperlink" Target="https://joliplanstudio.etsy.com/fr/listing/4602243958/uk-wedding-planner-spreadsheet-excel" TargetMode="External"/><Relationship Id="rIdE3" Type="http://schemas.openxmlformats.org/officeDocument/2006/relationships/hyperlink" Target="https://joliplanstudio.etsy.com/fr/listing/4602243958/uk-wedding-planner-spreadsheet-excel" TargetMode="External"/><Relationship Id="rIdE4" Type="http://schemas.openxmlformats.org/officeDocument/2006/relationships/hyperlink" Target="https://joliplanstudio.etsy.com/fr/listing/4602243958/uk-wedding-planner-spreadsheet-excel" TargetMode="External"/><Relationship Id="rIdE5" Type="http://schemas.openxmlformats.org/officeDocument/2006/relationships/hyperlink" Target="https://joliplanstudio.etsy.com/fr/listing/4602243958/uk-wedding-planner-spreadsheet-excel" TargetMode="External"/><Relationship Id="rIdE6" Type="http://schemas.openxmlformats.org/officeDocument/2006/relationships/hyperlink" Target="https://joliplanstudio.etsy.com/fr/listing/4602243958/uk-wedding-planner-spreadsheet-excel" TargetMode="External"/><Relationship Id="rIdE7" Type="http://schemas.openxmlformats.org/officeDocument/2006/relationships/hyperlink" Target="https://joliplanstudio.etsy.com/fr/listing/4602243958/uk-wedding-planner-spreadsheet-excel" TargetMode="External"/><Relationship Id="rIdE8" Type="http://schemas.openxmlformats.org/officeDocument/2006/relationships/hyperlink" Target="https://joliplanstudio.etsy.com/fr/listing/4602243958/uk-wedding-planner-spreadsheet-excel" TargetMode="External"/><Relationship Id="rIdE9" Type="http://schemas.openxmlformats.org/officeDocument/2006/relationships/hyperlink" Target="https://joliplanstudio.etsy.com/fr/listing/4602243958/uk-wedding-planner-spreadsheet-excel" TargetMode="External"/><Relationship Id="rIdE10" Type="http://schemas.openxmlformats.org/officeDocument/2006/relationships/hyperlink" Target="https://joliplanstudio.etsy.com/fr/listing/4602243958/uk-wedding-planner-spreadsheet-excel" TargetMode="External"/><Relationship Id="rIdE11" Type="http://schemas.openxmlformats.org/officeDocument/2006/relationships/hyperlink" Target="https://joliplanstudio.etsy.com/fr/listing/4602243958/uk-wedding-planner-spreadsheet-excel" TargetMode="External"/><Relationship Id="rIdE12" Type="http://schemas.openxmlformats.org/officeDocument/2006/relationships/hyperlink" Target="https://joliplanstudio.etsy.com/fr/listing/4602243958/uk-wedding-planner-spreadsheet-excel" TargetMode="External"/><Relationship Id="rIdE13" Type="http://schemas.openxmlformats.org/officeDocument/2006/relationships/hyperlink" Target="https://joliplanstudio.etsy.com/fr/listing/4602243958/uk-wedding-planner-spreadsheet-excel" TargetMode="External"/><Relationship Id="rIdE14" Type="http://schemas.openxmlformats.org/officeDocument/2006/relationships/hyperlink" Target="https://joliplanstudio.etsy.com/fr/listing/4602243958/uk-wedding-planner-spreadsheet-excel" TargetMode="External"/><Relationship Id="rIdE15" Type="http://schemas.openxmlformats.org/officeDocument/2006/relationships/hyperlink" Target="https://joliplanstudio.etsy.com/fr/listing/4602243958/uk-wedding-planner-spreadsheet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23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21.43"/>
    <col collapsed="false" customWidth="true" hidden="false" outlineLevel="0" max="3" min="3" style="0" width="2.29"/>
    <col collapsed="false" customWidth="true" hidden="false" outlineLevel="0" max="4" min="4" style="0" width="14.86"/>
    <col collapsed="false" customWidth="true" hidden="false" outlineLevel="0" max="5" min="5" style="0" width="3.71"/>
    <col collapsed="false" customWidth="true" hidden="false" outlineLevel="0" max="6" min="6" style="0" width="2"/>
    <col collapsed="false" customWidth="true" hidden="false" outlineLevel="0" max="7" min="7" style="0" width="9.14"/>
    <col collapsed="false" customWidth="true" hidden="false" outlineLevel="0" max="8" min="8" style="0" width="1.14"/>
    <col collapsed="false" customWidth="true" hidden="false" outlineLevel="0" max="9" min="9" style="0" width="8.29"/>
    <col collapsed="false" customWidth="true" hidden="false" outlineLevel="0" max="10" min="10" style="0" width="6.57"/>
    <col collapsed="false" customWidth="true" hidden="false" outlineLevel="0" max="11" min="11" style="0" width="14.86"/>
    <col collapsed="false" customWidth="true" hidden="false" outlineLevel="0" max="12" min="12" style="0" width="1.14"/>
    <col collapsed="false" customWidth="true" hidden="false" outlineLevel="0" max="13" min="13" style="0" width="2.29"/>
    <col collapsed="false" customWidth="true" hidden="false" outlineLevel="0" max="14" min="14" style="0" width="12.57"/>
    <col collapsed="false" customWidth="true" hidden="false" outlineLevel="0" max="15" min="15" style="0" width="12"/>
    <col collapsed="false" customWidth="true" hidden="false" outlineLevel="0" max="16" min="16" style="0" width="2.86"/>
    <col collapsed="false" customWidth="true" hidden="false" outlineLevel="0" max="17" min="17" style="0" width="1.14"/>
    <col collapsed="false" customWidth="true" hidden="false" outlineLevel="0" max="18" min="18" style="0" width="14.86"/>
    <col collapsed="false" customWidth="true" hidden="false" outlineLevel="0" max="19" min="19" style="0" width="2"/>
    <col collapsed="false" customWidth="true" hidden="false" outlineLevel="0" max="20" min="20" style="0" width="12.86"/>
    <col collapsed="false" customWidth="true" hidden="false" outlineLevel="0" max="21" min="21" style="0" width="1.14"/>
    <col collapsed="false" customWidth="true" hidden="false" outlineLevel="0" max="22" min="22" style="0" width="4.57"/>
    <col collapsed="false" customWidth="true" hidden="false" outlineLevel="0" max="23" min="23" style="0" width="10.29"/>
    <col collapsed="false" customWidth="true" hidden="false" outlineLevel="0" max="24" min="24" style="0" width="10.71"/>
    <col collapsed="false" customWidth="true" hidden="false" outlineLevel="0" max="25" min="25" style="0" width="3.43"/>
    <col collapsed="false" customWidth="true" hidden="true" outlineLevel="0" max="29" min="26" style="0" width="13"/>
    <col collapsed="false" customWidth="true" hidden="false" outlineLevel="0" max="30" min="30" style="0" width="24.57"/>
    <col collapsed="false" customWidth="true" hidden="false" outlineLevel="0" max="31" min="31" style="0" width="18.57"/>
    <col collapsed="false" customWidth="true" hidden="false" outlineLevel="0" max="32" min="32" style="0" width="2"/>
    <col collapsed="false" customWidth="true" hidden="false" outlineLevel="0" max="33" min="33" style="0" width="18.57"/>
    <col collapsed="false" customWidth="true" hidden="false" outlineLevel="0" max="34" min="34" style="0" width="21"/>
    <col collapsed="false" customWidth="true" hidden="false" outlineLevel="0" max="35" min="35" style="0" width="2.29"/>
    <col collapsed="false" customWidth="true" hidden="false" outlineLevel="0" max="36" min="36" style="0" width="0.29"/>
  </cols>
  <sheetData>
    <row r="1" customFormat="false" ht="13.5" hidden="false" customHeight="true" outlineLevel="0" collapsed="false">
      <c r="A1" s="1"/>
      <c r="B1" s="2" t="s">
        <v>0</v>
      </c>
      <c r="C1" s="1"/>
      <c r="D1" s="3" t="s">
        <v>1</v>
      </c>
      <c r="E1" s="3"/>
      <c r="F1" s="3"/>
      <c r="G1" s="3"/>
      <c r="H1" s="1"/>
      <c r="I1" s="4" t="s">
        <v>2</v>
      </c>
      <c r="J1" s="4"/>
      <c r="K1" s="4"/>
      <c r="L1" s="1"/>
      <c r="M1" s="3" t="s">
        <v>3</v>
      </c>
      <c r="N1" s="3"/>
      <c r="O1" s="3"/>
      <c r="P1" s="3"/>
      <c r="Q1" s="1"/>
      <c r="R1" s="4" t="s">
        <v>4</v>
      </c>
      <c r="S1" s="4"/>
      <c r="T1" s="4"/>
      <c r="U1" s="1"/>
      <c r="V1" s="5" t="s">
        <v>5</v>
      </c>
      <c r="W1" s="5"/>
      <c r="X1" s="6" t="s">
        <v>6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customFormat="false" ht="25.5" hidden="false" customHeight="true" outlineLevel="0" collapsed="false">
      <c r="A2" s="1"/>
      <c r="B2" s="2"/>
      <c r="C2" s="1"/>
      <c r="D2" s="7" t="s">
        <v>7</v>
      </c>
      <c r="E2" s="7" t="inlineStr">
        <is>
          <t xml:space="preserve">  🔒 Payments  </t>
        </is>
      </c>
      <c r="F2" s="7"/>
      <c r="G2" s="7"/>
      <c r="H2" s="1"/>
      <c r="I2" s="7" t="s">
        <v>8</v>
      </c>
      <c r="J2" s="7"/>
      <c r="K2" s="7" t="inlineStr">
        <is>
          <t xml:space="preserve">  🔒 Tables  </t>
        </is>
      </c>
      <c r="L2" s="1"/>
      <c r="M2" s="7" t="inlineStr">
        <is>
          <t xml:space="preserve">🔒 Checklist</t>
        </is>
      </c>
      <c r="N2" s="7"/>
      <c r="O2" s="7" t="inlineStr">
        <is>
          <t xml:space="preserve">  🔒 Appointments  </t>
        </is>
      </c>
      <c r="P2" s="7"/>
      <c r="Q2" s="1"/>
      <c r="R2" s="7" t="inlineStr">
        <is>
          <t xml:space="preserve">  🔒 Ceremony  </t>
        </is>
      </c>
      <c r="S2" s="7" t="inlineStr">
        <is>
          <t xml:space="preserve">  🔒 Music  </t>
        </is>
      </c>
      <c r="T2" s="7"/>
      <c r="U2" s="1"/>
      <c r="V2" s="7" t="s">
        <v>9</v>
      </c>
      <c r="W2" s="7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customFormat="false" ht="25.5" hidden="false" customHeight="true" outlineLevel="0" collapsed="false">
      <c r="A3" s="1"/>
      <c r="B3" s="2"/>
      <c r="C3" s="1"/>
      <c r="D3" s="8" t="inlineStr">
        <is>
          <t xml:space="preserve">  🔒 Suppliers  </t>
        </is>
      </c>
      <c r="E3" s="8" t="inlineStr">
        <is>
          <t xml:space="preserve">  🔒 Shopping  </t>
        </is>
      </c>
      <c r="F3" s="8"/>
      <c r="G3" s="8"/>
      <c r="H3" s="1"/>
      <c r="I3" s="8" t="inlineStr">
        <is>
          <t xml:space="preserve">  🔒 Seating plan  </t>
        </is>
      </c>
      <c r="J3" s="8"/>
      <c r="K3" s="8" t="inlineStr">
        <is>
          <t xml:space="preserve">  🔒 Catering  </t>
        </is>
      </c>
      <c r="L3" s="1"/>
      <c r="M3" s="8" t="inlineStr">
        <is>
          <t xml:space="preserve">  🔒 Giving notice  </t>
        </is>
      </c>
      <c r="N3" s="8"/>
      <c r="O3" s="8" t="inlineStr">
        <is>
          <t xml:space="preserve">  🔒 Contacts  </t>
        </is>
      </c>
      <c r="P3" s="8"/>
      <c r="Q3" s="1"/>
      <c r="R3" s="8" t="inlineStr">
        <is>
          <t xml:space="preserve">  🔒 On the day  </t>
        </is>
      </c>
      <c r="S3" s="8" t="inlineStr">
        <is>
          <t xml:space="preserve">🔒 Thank yous</t>
        </is>
      </c>
      <c r="T3" s="8"/>
      <c r="U3" s="1"/>
      <c r="V3" s="8" t="inlineStr">
        <is>
          <t xml:space="preserve">  🔒 Notes  </t>
        </is>
      </c>
      <c r="W3" s="8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customFormat="false" ht="33.75" hidden="false" customHeight="true" outlineLevel="0" collapsed="false">
      <c r="A4" s="9"/>
      <c r="B4" s="10" t="str">
        <f aca="false">IF($AC$8="","YOUR WHOLE WEDDING, IN ONE PLACE",UPPER(CHOOSE(WEEKDAY($AC$8),"Sunday","Monday","Tuesday","Wednesday","Thursday","Friday","Saturday")&amp;" "&amp;DAY($AC$8)&amp;" "&amp;CHOOSE(MONTH($AC$8),"January","February","March","April","May","June","July","August","September","October","November","December")&amp;" "&amp;YEAR($AC$8)))</f>
        <v>YOUR WHOLE WEDDING, IN ONE PLACE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9"/>
      <c r="AA4" s="1"/>
      <c r="AB4" s="1"/>
      <c r="AC4" s="1"/>
      <c r="AD4" s="11" t="str">
        <f aca="true">IF($AC$8="","CHOOSE YOUR DATE BELOW",IF($AC$8&lt;=TODAY(),"","IN "&amp;IF(DATEDIF(TODAY(),$AC$8,"m")=0,"",DATEDIF(TODAY(),$AC$8,"m")&amp;" MONTHS")&amp;IF(AND(DATEDIF(TODAY(),$AC$8,"m")&gt;0,DATEDIF(TODAY(),$AC$8,"md")&gt;0)," AND ","")&amp;IF(DATEDIF(TODAY(),$AC$8,"md")=0,"",DATEDIF(TODAY(),$AC$8,"md")&amp;IF(DATEDIF(TODAY(),$AC$8,"md")=1," DAY"," DAYS"))))</f>
        <v>CHOOSE YOUR DATE BELOW</v>
      </c>
      <c r="AE4" s="11"/>
      <c r="AF4" s="11"/>
      <c r="AG4" s="11"/>
      <c r="AH4" s="11"/>
      <c r="AI4" s="12"/>
      <c r="AJ4" s="1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customFormat="false" ht="60" hidden="false" customHeight="true" outlineLevel="0" collapsed="false">
      <c r="A5" s="13"/>
      <c r="B5" s="14" t="str">
        <f aca="false">IF(OR(INDEX($D:$D,6)="",INDEX($D:$D,7)=""),"Our wedding","The wedding of "&amp;""&amp;TRIM(INDEX($D:$D,6))&amp;" &amp; "&amp;TRIM(INDEX($D:$D,7)))</f>
        <v>Our wedding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3"/>
      <c r="Z5" s="13"/>
      <c r="AA5" s="1"/>
      <c r="AB5" s="1"/>
      <c r="AC5" s="1"/>
      <c r="AD5" s="15" t="str">
        <f aca="true">IF($AC$8="","? days",IF($AC$8-TODAY()&gt;0,($AC$8-TODAY())&amp;IF($AC$8-TODAY()=1," day"," days"),IF($AC$8=TODAY(),"It's the big day!","Congratulations!")))</f>
        <v>? days</v>
      </c>
      <c r="AE5" s="15"/>
      <c r="AF5" s="15"/>
      <c r="AG5" s="15"/>
      <c r="AH5" s="15"/>
      <c r="AI5" s="13"/>
      <c r="AJ5" s="13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customFormat="false" ht="27.75" hidden="false" customHeight="true" outlineLevel="0" collapsed="false">
      <c r="A6" s="1"/>
      <c r="B6" s="16" t="s">
        <v>10</v>
      </c>
      <c r="C6" s="16"/>
      <c r="D6" s="17"/>
      <c r="E6" s="17"/>
      <c r="F6" s="17"/>
      <c r="G6" s="17"/>
      <c r="H6" s="17"/>
      <c r="I6" s="17"/>
      <c r="J6" s="17"/>
      <c r="K6" s="17"/>
      <c r="L6" s="1"/>
      <c r="M6" s="1"/>
      <c r="N6" s="18" t="str">
        <f aca="false">IF(AND(AND(INDEX($D:$D,6)&lt;&gt;"",INDEX($D:$D,7)&lt;&gt;""),$AC$8&lt;&gt;"",AND(N(INDEX($D:$D,9))&gt;0,N(INDEX($D:$D,10))&gt;0),SUM(Guests!$AI$7:$AI$506)&gt;0),"This week: just 3 things","Where to start?")</f>
        <v>Where to start?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"/>
      <c r="Z6" s="1"/>
      <c r="AA6" s="1"/>
      <c r="AB6" s="1"/>
      <c r="AC6" s="1"/>
      <c r="AD6" s="19" t="s">
        <v>11</v>
      </c>
      <c r="AE6" s="19"/>
      <c r="AF6" s="19"/>
      <c r="AG6" s="19"/>
      <c r="AH6" s="19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customFormat="false" ht="25.5" hidden="false" customHeight="true" outlineLevel="0" collapsed="false">
      <c r="A7" s="1"/>
      <c r="B7" s="16" t="s">
        <v>12</v>
      </c>
      <c r="C7" s="16"/>
      <c r="D7" s="17"/>
      <c r="E7" s="17"/>
      <c r="F7" s="17"/>
      <c r="G7" s="17"/>
      <c r="H7" s="17"/>
      <c r="I7" s="17"/>
      <c r="J7" s="17"/>
      <c r="K7" s="17"/>
      <c r="L7" s="1"/>
      <c r="M7" s="1"/>
      <c r="N7" s="20" t="str">
        <f aca="false">IF(AND(AND(INDEX($D:$D,6)&lt;&gt;"",INDEX($D:$D,7)&lt;&gt;""),$AC$8&lt;&gt;"",AND(N(INDEX($D:$D,9))&gt;0,N(INDEX($D:$D,10))&gt;0),SUM(Guests!$AI$7:$AI$506)&gt;0),IF(COUNT($AB$231:$AB$239)=0,"Nothing urgent for now: enjoy it!","•  "&amp;IF(COUNT($AB$231:$AB$239)&lt;1,"",INDEX($AA$231:$AA$239,MATCH(SMALL($AB$231:$AB$239,1),$AB$231:$AB$239,0)))),IF(AND(INDEX($D:$D,6)&lt;&gt;"",INDEX($D:$D,7)&lt;&gt;""),"✓  Your first names","1  Your first names (on the left): they appear on every tab"))</f>
        <v>1  Your first names (on the left): they appear on every tab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1"/>
      <c r="Z7" s="1"/>
      <c r="AA7" s="1"/>
      <c r="AB7" s="1"/>
      <c r="AC7" s="1"/>
      <c r="AD7" s="21" t="str">
        <f aca="false">IF(COUNTIF($AA$161:$AA$188,"?*")=0,"Nothing to flag for now: everything is in order.",IFERROR("•  "&amp;INDEX($AA$161:$AA$188,MATCH(1,$AB$161:$AB$188,0)),""))</f>
        <v>Nothing to flag for now: everything is in order.</v>
      </c>
      <c r="AE7" s="21"/>
      <c r="AF7" s="21"/>
      <c r="AG7" s="21"/>
      <c r="AH7" s="2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customFormat="false" ht="25.5" hidden="false" customHeight="true" outlineLevel="0" collapsed="false">
      <c r="A8" s="1"/>
      <c r="B8" s="16" t="s">
        <v>13</v>
      </c>
      <c r="C8" s="16"/>
      <c r="D8" s="22"/>
      <c r="E8" s="22"/>
      <c r="F8" s="17"/>
      <c r="G8" s="17"/>
      <c r="H8" s="17"/>
      <c r="I8" s="17"/>
      <c r="J8" s="22"/>
      <c r="K8" s="22"/>
      <c r="L8" s="1"/>
      <c r="M8" s="1"/>
      <c r="N8" s="20" t="str">
        <f aca="false">IF(AND(AND(INDEX($D:$D,6)&lt;&gt;"",INDEX($D:$D,7)&lt;&gt;""),$AC$8&lt;&gt;"",AND(N(INDEX($D:$D,9))&gt;0,N(INDEX($D:$D,10))&gt;0),SUM(Guests!$AI$7:$AI$506)&gt;0),IF(COUNT($AB$231:$AB$239)&lt;2,"","•  "&amp;IF(COUNT($AB$231:$AB$239)&lt;2,"",INDEX($AA$231:$AA$239,MATCH(SMALL($AB$231:$AB$239,2),$AB$231:$AB$239,0)))),IF($AC$8&lt;&gt;"","✓  "&amp;CHOOSE(WEEKDAY($AC$8),"Sunday","Monday","Tuesday","Wednesday","Thursday","Friday","Saturday")&amp;" "&amp;DAY($AC$8)&amp;" "&amp;CHOOSE(MONTH($AC$8),"January","February","March","April","May","June","July","August","September","October","November","December")&amp;" "&amp;YEAR($AC$8),IF(AND(INDEX($D:$D,8)="",INDEX($F:$F,8)="",INDEX($J:$J,8)=""),"2  Your date (3 drop-downs): every step is dated from it",IF(OR(INDEX($D:$D,8)="",INDEX($F:$F,8)="",INDEX($J:$J,8)=""),"2  Date incomplete: day, month and year","2  This date doesn't exist: check the day"))))</f>
        <v>2  Your date (3 drop-downs): every step is dated from it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1"/>
      <c r="Z8" s="1"/>
      <c r="AA8" s="1"/>
      <c r="AB8" s="1"/>
      <c r="AC8" s="23" t="str">
        <f aca="false">IF(OR(INDEX($D:$D,8)="",INDEX($F:$F,8)="",INDEX($J:$J,8)=""),"",IFERROR(IF(DAY(DATE(VALUE(INDEX($J:$J,8)&amp;""),MATCH(INDEX($F:$F,8),Lists!$Y$1:$Y$12,0),VALUE(INDEX($D:$D,8)&amp;"")))=VALUE(INDEX($D:$D,8)&amp;""),DATE(VALUE(INDEX($J:$J,8)&amp;""),MATCH(INDEX($F:$F,8),Lists!$Y$1:$Y$12,0),VALUE(INDEX($D:$D,8)&amp;"")),""),""))</f>
        <v/>
      </c>
      <c r="AD8" s="21" t="str">
        <f aca="false">IFERROR("•  "&amp;INDEX($AA$161:$AA$188,MATCH(2,$AB$161:$AB$188,0)),"")</f>
        <v/>
      </c>
      <c r="AE8" s="21"/>
      <c r="AF8" s="21"/>
      <c r="AG8" s="21"/>
      <c r="AH8" s="2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customFormat="false" ht="25.5" hidden="false" customHeight="true" outlineLevel="0" collapsed="false">
      <c r="A9" s="1"/>
      <c r="B9" s="16" t="s">
        <v>14</v>
      </c>
      <c r="C9" s="16"/>
      <c r="D9" s="24"/>
      <c r="E9" s="24"/>
      <c r="F9" s="24"/>
      <c r="G9" s="24"/>
      <c r="H9" s="24"/>
      <c r="I9" s="24"/>
      <c r="J9" s="24"/>
      <c r="K9" s="24"/>
      <c r="L9" s="1"/>
      <c r="M9" s="1"/>
      <c r="N9" s="20" t="str">
        <f aca="false">IF(AND(AND(INDEX($D:$D,6)&lt;&gt;"",INDEX($D:$D,7)&lt;&gt;""),$AC$8&lt;&gt;"",AND(N(INDEX($D:$D,9))&gt;0,N(INDEX($D:$D,10))&gt;0),SUM(Guests!$AI$7:$AI$506)&gt;0),IF(COUNT($AB$231:$AB$239)&lt;3,"","•  "&amp;IF(COUNT($AB$231:$AB$239)&lt;3,"",INDEX($AA$231:$AA$239,MATCH(SMALL($AB$231:$AB$239,3),$AB$231:$AB$239,0)))),IF(AND(N(INDEX($D:$D,9))&gt;0,N(INDEX($D:$D,10))&gt;0),"✓  Budget and number of guests","3  Budget and guest numbers: used for your suggested budget"))</f>
        <v>3  Budget and guest numbers: used for your suggested budget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1"/>
      <c r="Z9" s="1"/>
      <c r="AA9" s="1"/>
      <c r="AB9" s="1"/>
      <c r="AC9" s="1"/>
      <c r="AD9" s="21" t="str">
        <f aca="false">IFERROR("•  "&amp;INDEX($AA$161:$AA$188,MATCH(3,$AB$161:$AB$188,0)),"")</f>
        <v/>
      </c>
      <c r="AE9" s="21"/>
      <c r="AF9" s="21"/>
      <c r="AG9" s="21"/>
      <c r="AH9" s="2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customFormat="false" ht="25.5" hidden="false" customHeight="true" outlineLevel="0" collapsed="false">
      <c r="A10" s="1"/>
      <c r="B10" s="16" t="s">
        <v>15</v>
      </c>
      <c r="C10" s="16"/>
      <c r="D10" s="25"/>
      <c r="E10" s="25"/>
      <c r="F10" s="25"/>
      <c r="G10" s="25"/>
      <c r="H10" s="25"/>
      <c r="I10" s="25"/>
      <c r="J10" s="25"/>
      <c r="K10" s="25"/>
      <c r="L10" s="1"/>
      <c r="M10" s="1"/>
      <c r="N10" s="20" t="str">
        <f aca="false">IF(AND(AND(INDEX($D:$D,6)&lt;&gt;"",INDEX($D:$D,7)&lt;&gt;""),$AC$8&lt;&gt;"",AND(N(INDEX($D:$D,9))&gt;0,N(INDEX($D:$D,10))&gt;0),SUM(Guests!$AI$7:$AI$506)&gt;0),IF(COUNT($AB$231:$AB$239)=0,"","The rest can wait: have a good week!"),IF(SUM(Guests!$AI$7:$AI$506)&gt;0,"✓  Guest list started","4  Add your first guest  ›"))</f>
        <v>4  Add your first guest  ›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"/>
      <c r="Z10" s="1"/>
      <c r="AA10" s="1"/>
      <c r="AB10" s="1"/>
      <c r="AC10" s="1"/>
      <c r="AD10" s="21" t="str">
        <f aca="false">IF(COUNTIF($AA$161:$AA$188,"?*")&gt;4,"•  … and "&amp;(COUNTIF($AA$161:$AA$188,"?*")-4+1)&amp;" more: see the relevant tabs.",IFERROR("•  "&amp;INDEX($AA$161:$AA$188,MATCH(4,$AB$161:$AB$188,0)),""))</f>
        <v/>
      </c>
      <c r="AE10" s="21"/>
      <c r="AF10" s="21"/>
      <c r="AG10" s="21"/>
      <c r="AH10" s="2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customFormat="false" ht="30" hidden="false" customHeight="true" outlineLevel="0" collapsed="false">
      <c r="A11" s="1"/>
      <c r="B11" s="26"/>
      <c r="C11" s="26"/>
      <c r="D11" s="26"/>
      <c r="E11" s="26"/>
      <c r="F11" s="26"/>
      <c r="G11" s="26"/>
      <c r="H11" s="26"/>
      <c r="I11" s="26"/>
      <c r="J11" s="27"/>
      <c r="K11" s="28"/>
      <c r="L11" s="29"/>
      <c r="M11" s="29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customFormat="false" ht="19.5" hidden="false" customHeight="true" outlineLevel="0" collapsed="false">
      <c r="A12" s="1"/>
      <c r="B12" s="31" t="s">
        <v>16</v>
      </c>
      <c r="C12" s="31"/>
      <c r="D12" s="31"/>
      <c r="E12" s="31"/>
      <c r="F12" s="1"/>
      <c r="G12" s="32" t="s">
        <v>17</v>
      </c>
      <c r="H12" s="32"/>
      <c r="I12" s="32"/>
      <c r="J12" s="32"/>
      <c r="K12" s="32"/>
      <c r="L12" s="1"/>
      <c r="M12" s="1"/>
      <c r="N12" s="31" t="s">
        <v>3</v>
      </c>
      <c r="O12" s="31"/>
      <c r="P12" s="31"/>
      <c r="Q12" s="31"/>
      <c r="R12" s="31"/>
      <c r="S12" s="1"/>
      <c r="T12" s="31" t="s">
        <v>18</v>
      </c>
      <c r="U12" s="31"/>
      <c r="V12" s="31"/>
      <c r="W12" s="31"/>
      <c r="X12" s="31"/>
      <c r="Y12" s="1"/>
      <c r="Z12" s="1"/>
      <c r="AA12" s="1"/>
      <c r="AB12" s="1"/>
      <c r="AC12" s="1"/>
      <c r="AD12" s="31" t="s">
        <v>19</v>
      </c>
      <c r="AE12" s="31"/>
      <c r="AF12" s="1"/>
      <c r="AG12" s="31" t="s">
        <v>20</v>
      </c>
      <c r="AH12" s="3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customFormat="false" ht="21.75" hidden="false" customHeight="true" outlineLevel="0" collapsed="false">
      <c r="A13" s="1"/>
      <c r="B13" s="33" t="str">
        <f aca="false">IF((SUM(Budget!$R$7:$R$42)+SUMPRODUCT((Budget!$R$7:$R$42="")*(Budget!$K$7:$K$42&lt;&gt;"")*Budget!$K$7:$K$42)+SUMPRODUCT((Budget!$R$7:$R$42="")*(Budget!$K$7:$K$42="")*Budget!$J$7:$J$42))=0,"–"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</f>
        <v>–</v>
      </c>
      <c r="C13" s="33"/>
      <c r="D13" s="33"/>
      <c r="E13" s="33"/>
      <c r="F13" s="1"/>
      <c r="G13" s="34" t="str">
        <f aca="false">IF(SUM(Guests!$AI$7:$AI$506)=0,"–",SUMIFS(Guests!$AI$7:$AI$506,Guests!$U$7:$U$506,"Attending")&amp;" / "&amp;SUM(Guests!$AI$7:$AI$506))</f>
        <v>–</v>
      </c>
      <c r="H13" s="34"/>
      <c r="I13" s="34"/>
      <c r="J13" s="34"/>
      <c r="K13" s="34"/>
      <c r="L13" s="1"/>
      <c r="M13" s="1"/>
      <c r="N13" s="33" t="inlineStr">
        <is>
          <t xml:space="preserve">🔒</t>
        </is>
      </c>
      <c r="O13" s="33"/>
      <c r="P13" s="33"/>
      <c r="Q13" s="33"/>
      <c r="R13" s="33"/>
      <c r="S13" s="1"/>
      <c r="T13" s="35" t="inlineStr">
        <is>
          <t xml:space="preserve">🔒</t>
        </is>
      </c>
      <c r="U13" s="35"/>
      <c r="V13" s="35"/>
      <c r="W13" s="35"/>
      <c r="X13" s="35"/>
      <c r="Y13" s="1"/>
      <c r="Z13" s="1"/>
      <c r="AA13" s="1"/>
      <c r="AB13" s="1"/>
      <c r="AC13" s="1"/>
      <c r="AD13" s="36" t="str">
        <f aca="true">IF($AC$8="","–",IF($AC$8="","–",MAX(0,$AC$8-TODAY())))</f>
        <v>–</v>
      </c>
      <c r="AE13" s="36"/>
      <c r="AF13" s="1"/>
      <c r="AG13" s="33" t="inlineStr">
        <is>
          <t xml:space="preserve">🔒</t>
        </is>
      </c>
      <c r="AH13" s="33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customFormat="false" ht="21.75" hidden="false" customHeight="true" outlineLevel="0" collapsed="false">
      <c r="A14" s="1"/>
      <c r="B14" s="33"/>
      <c r="C14" s="33"/>
      <c r="D14" s="33"/>
      <c r="E14" s="33"/>
      <c r="F14" s="1"/>
      <c r="G14" s="34"/>
      <c r="H14" s="34"/>
      <c r="I14" s="34"/>
      <c r="J14" s="34"/>
      <c r="K14" s="34"/>
      <c r="L14" s="1"/>
      <c r="M14" s="1"/>
      <c r="N14" s="33"/>
      <c r="O14" s="33"/>
      <c r="P14" s="33"/>
      <c r="Q14" s="33"/>
      <c r="R14" s="33"/>
      <c r="S14" s="1"/>
      <c r="T14" s="35"/>
      <c r="U14" s="35"/>
      <c r="V14" s="35"/>
      <c r="W14" s="35"/>
      <c r="X14" s="35"/>
      <c r="Y14" s="1"/>
      <c r="Z14" s="1"/>
      <c r="AA14" s="1"/>
      <c r="AB14" s="1"/>
      <c r="AC14" s="1"/>
      <c r="AD14" s="36"/>
      <c r="AE14" s="36"/>
      <c r="AF14" s="1"/>
      <c r="AG14" s="33"/>
      <c r="AH14" s="33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customFormat="false" ht="18" hidden="false" customHeight="true" outlineLevel="0" collapsed="false">
      <c r="A15" s="1"/>
      <c r="B15" s="37" t="str">
        <f aca="false">IF((SUM(Budget!$R$7:$R$42)+SUMPRODUCT((Budget!$R$7:$R$42="")*(Budget!$K$7:$K$42&lt;&gt;"")*Budget!$K$7:$K$42)+SUMPRODUCT((Budget!$R$7:$R$42="")*(Budget!$K$7:$K$42="")*Budget!$J$7:$J$42))=0,"Enter your total budget","£"&amp;FIXED(SUM(Budget!$T$7:$T$42),0)&amp;" paid of "&amp;"£"&amp;FIXED((SUM(Budget!$R$7:$R$42)+SUMPRODUCT((Budget!$R$7:$R$42="")*(Budget!$K$7:$K$42&lt;&gt;"")*Budget!$K$7:$K$42)+SUMPRODUCT((Budget!$R$7:$R$42="")*(Budget!$K$7:$K$42="")*Budget!$J$7:$J$42)),0)&amp;"")</f>
        <v>Enter your total budget</v>
      </c>
      <c r="C15" s="37"/>
      <c r="D15" s="37"/>
      <c r="E15" s="37"/>
      <c r="F15" s="1"/>
      <c r="G15" s="38" t="str">
        <f aca="false">IF(SUM(Guests!$AI$7:$AI$506)=0,"Add your guests  ›  Guests",(SUM(Guests!$AI$7:$AI$506)-SUMIFS(Guests!$AI$7:$AI$506,Guests!$U$7:$U$506,"Attending")-SUMIFS(Guests!$AI$7:$AI$506,Guests!$U$7:$U$506,"Declined"))&amp;" awaiting reply")</f>
        <v>Add your guests  ›  Guests</v>
      </c>
      <c r="H15" s="38"/>
      <c r="I15" s="38"/>
      <c r="J15" s="38"/>
      <c r="K15" s="38"/>
      <c r="L15" s="1"/>
      <c r="M15" s="1"/>
      <c r="N15" s="37"/>
      <c r="O15" s="37"/>
      <c r="P15" s="37"/>
      <c r="Q15" s="37"/>
      <c r="R15" s="37"/>
      <c r="S15" s="1"/>
      <c r="T15" s="37"/>
      <c r="U15" s="37"/>
      <c r="V15" s="37"/>
      <c r="W15" s="37"/>
      <c r="X15" s="37"/>
      <c r="Y15" s="1"/>
      <c r="Z15" s="1"/>
      <c r="AA15" s="1"/>
      <c r="AB15" s="1"/>
      <c r="AC15" s="1"/>
      <c r="AD15" s="37" t="str">
        <f aca="false">IF($AC$8="","Choose your date below","until the big day")</f>
        <v>Choose your date below</v>
      </c>
      <c r="AE15" s="37"/>
      <c r="AF15" s="1"/>
      <c r="AG15" s="37"/>
      <c r="AH15" s="37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customFormat="false" ht="19.5" hidden="false" customHeight="true" outlineLevel="0" collapsed="false">
      <c r="A16" s="1"/>
      <c r="B16" s="39" t="str">
        <f aca="false">REPT("● ",ROUND(MIN(1,MAX(0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)*10,0))&amp;REPT("○ ",10-ROUND(MIN(1,MAX(0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)*10,0))</f>
        <v>○ ○ ○ ○ ○ ○ ○ ○ ○ ○ </v>
      </c>
      <c r="C16" s="39"/>
      <c r="D16" s="39"/>
      <c r="E16" s="39"/>
      <c r="F16" s="1"/>
      <c r="G16" s="40" t="str">
        <f aca="false">REPT("● ",ROUND(MIN(1,MAX(0,IF(SUM(Guests!$AI$7:$AI$506)=0,0,SUMIFS(Guests!$AI$7:$AI$506,Guests!$U$7:$U$506,"Attending")/SUM(Guests!$AI$7:$AI$506))))*10,0))&amp;REPT("○ ",10-ROUND(MIN(1,MAX(0,IF(SUM(Guests!$AI$7:$AI$506)=0,0,SUMIFS(Guests!$AI$7:$AI$506,Guests!$U$7:$U$506,"Attending")/SUM(Guests!$AI$7:$AI$506))))*10,0))</f>
        <v>○ ○ ○ ○ ○ ○ ○ ○ ○ ○ </v>
      </c>
      <c r="H16" s="40"/>
      <c r="I16" s="40"/>
      <c r="J16" s="40"/>
      <c r="K16" s="40"/>
      <c r="L16" s="1"/>
      <c r="M16" s="1"/>
      <c r="N16" s="39"/>
      <c r="O16" s="39"/>
      <c r="P16" s="39"/>
      <c r="Q16" s="39"/>
      <c r="R16" s="39"/>
      <c r="S16" s="1"/>
      <c r="T16" s="41"/>
      <c r="U16" s="41"/>
      <c r="V16" s="41"/>
      <c r="W16" s="41"/>
      <c r="X16" s="41"/>
      <c r="Y16" s="1"/>
      <c r="Z16" s="1"/>
      <c r="AA16" s="1"/>
      <c r="AB16" s="1"/>
      <c r="AC16" s="1"/>
      <c r="AD16" s="42"/>
      <c r="AE16" s="42"/>
      <c r="AF16" s="1"/>
      <c r="AG16" s="39"/>
      <c r="AH16" s="39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customFormat="false" ht="13.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3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customFormat="false" ht="27.75" hidden="false" customHeight="true" outlineLevel="0" collapsed="false">
      <c r="A18" s="1"/>
      <c r="B18" s="19" t="inlineStr">
        <is>
          <t xml:space="preserve">🔒 Next steps</t>
        </is>
      </c>
      <c r="C18" s="19"/>
      <c r="D18" s="19"/>
      <c r="E18" s="19"/>
      <c r="F18" s="19"/>
      <c r="G18" s="19"/>
      <c r="H18" s="19"/>
      <c r="I18" s="19"/>
      <c r="J18" s="44" t="inlineStr">
        <is>
          <t xml:space="preserve">            Unlock  ›            </t>
        </is>
      </c>
      <c r="K18" s="44"/>
      <c r="L18" s="1"/>
      <c r="M18" s="1"/>
      <c r="N18" s="19" t="inlineStr">
        <is>
          <t xml:space="preserve">🔒 Next payments</t>
        </is>
      </c>
      <c r="O18" s="19"/>
      <c r="P18" s="19"/>
      <c r="Q18" s="19"/>
      <c r="R18" s="19"/>
      <c r="S18" s="19"/>
      <c r="T18" s="19"/>
      <c r="U18" s="19"/>
      <c r="V18" s="19"/>
      <c r="W18" s="44" t="inlineStr">
        <is>
          <t xml:space="preserve">            Unlock  ›            </t>
        </is>
      </c>
      <c r="X18" s="44"/>
      <c r="Y18" s="1"/>
      <c r="Z18" s="1"/>
      <c r="AA18" s="1"/>
      <c r="AB18" s="1"/>
      <c r="AC18" s="1"/>
      <c r="AD18" s="19" t="inlineStr">
        <is>
          <t xml:space="preserve">🔒 Next appointments</t>
        </is>
      </c>
      <c r="AE18" s="19"/>
      <c r="AF18" s="19"/>
      <c r="AG18" s="19"/>
      <c r="AH18" s="44" t="inlineStr">
        <is>
          <t xml:space="preserve">            Unlock  ›            </t>
        </is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customFormat="false" ht="21.75" hidden="false" customHeight="true" outlineLevel="0" collapsed="false">
      <c r="A19" s="1"/>
      <c r="B19" s="45" t="inlineStr">
        <is>
          <t xml:space="preserve">🔒 In the full version</t>
        </is>
      </c>
      <c r="C19" s="45"/>
      <c r="D19" s="45"/>
      <c r="E19" s="45"/>
      <c r="F19" s="45"/>
      <c r="G19" s="45"/>
      <c r="H19" s="45"/>
      <c r="I19" s="45"/>
      <c r="J19" s="46"/>
      <c r="K19" s="46"/>
      <c r="L19" s="1"/>
      <c r="M19" s="1"/>
      <c r="N19" s="47" t="inlineStr">
        <is>
          <t xml:space="preserve">🔒 In the full version</t>
        </is>
      </c>
      <c r="O19" s="47"/>
      <c r="P19" s="45"/>
      <c r="Q19" s="45"/>
      <c r="R19" s="45"/>
      <c r="S19" s="45"/>
      <c r="T19" s="45"/>
      <c r="U19" s="45"/>
      <c r="V19" s="45"/>
      <c r="W19" s="48"/>
      <c r="X19" s="48"/>
      <c r="Y19" s="1"/>
      <c r="Z19" s="1"/>
      <c r="AA19" s="1"/>
      <c r="AB19" s="1"/>
      <c r="AC19" s="1"/>
      <c r="AD19" s="47" t="inlineStr">
        <is>
          <t xml:space="preserve">🔒 In the full version</t>
        </is>
      </c>
      <c r="AE19" s="45"/>
      <c r="AF19" s="45"/>
      <c r="AG19" s="45"/>
      <c r="AH19" s="49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customFormat="false" ht="21.75" hidden="false" customHeight="true" outlineLevel="0" collapsed="false">
      <c r="A20" s="1"/>
      <c r="B20" s="45"/>
      <c r="C20" s="45"/>
      <c r="D20" s="45"/>
      <c r="E20" s="45"/>
      <c r="F20" s="45"/>
      <c r="G20" s="45"/>
      <c r="H20" s="45"/>
      <c r="I20" s="45"/>
      <c r="J20" s="46"/>
      <c r="K20" s="46"/>
      <c r="L20" s="1"/>
      <c r="M20" s="1"/>
      <c r="N20" s="47"/>
      <c r="O20" s="47"/>
      <c r="P20" s="45"/>
      <c r="Q20" s="45"/>
      <c r="R20" s="45"/>
      <c r="S20" s="45"/>
      <c r="T20" s="45"/>
      <c r="U20" s="45"/>
      <c r="V20" s="45"/>
      <c r="W20" s="48"/>
      <c r="X20" s="48"/>
      <c r="Y20" s="1"/>
      <c r="Z20" s="1"/>
      <c r="AA20" s="1"/>
      <c r="AB20" s="1"/>
      <c r="AC20" s="1"/>
      <c r="AD20" s="47"/>
      <c r="AE20" s="45"/>
      <c r="AF20" s="45"/>
      <c r="AG20" s="45"/>
      <c r="AH20" s="49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customFormat="false" ht="21.75" hidden="false" customHeight="true" outlineLevel="0" collapsed="false">
      <c r="A21" s="1"/>
      <c r="B21" s="45"/>
      <c r="C21" s="45"/>
      <c r="D21" s="45"/>
      <c r="E21" s="45"/>
      <c r="F21" s="45"/>
      <c r="G21" s="45"/>
      <c r="H21" s="45"/>
      <c r="I21" s="45"/>
      <c r="J21" s="46"/>
      <c r="K21" s="46"/>
      <c r="L21" s="1"/>
      <c r="M21" s="1"/>
      <c r="N21" s="47"/>
      <c r="O21" s="47"/>
      <c r="P21" s="45"/>
      <c r="Q21" s="45"/>
      <c r="R21" s="45"/>
      <c r="S21" s="45"/>
      <c r="T21" s="45"/>
      <c r="U21" s="45"/>
      <c r="V21" s="45"/>
      <c r="W21" s="48"/>
      <c r="X21" s="48"/>
      <c r="Y21" s="1"/>
      <c r="Z21" s="1"/>
      <c r="AA21" s="1"/>
      <c r="AB21" s="1"/>
      <c r="AC21" s="1"/>
      <c r="AD21" s="47"/>
      <c r="AE21" s="45"/>
      <c r="AF21" s="45"/>
      <c r="AG21" s="45"/>
      <c r="AH21" s="49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customFormat="false" ht="21.75" hidden="false" customHeight="true" outlineLevel="0" collapsed="false">
      <c r="A22" s="1"/>
      <c r="B22" s="45"/>
      <c r="C22" s="45"/>
      <c r="D22" s="45"/>
      <c r="E22" s="45"/>
      <c r="F22" s="45"/>
      <c r="G22" s="45"/>
      <c r="H22" s="45"/>
      <c r="I22" s="45"/>
      <c r="J22" s="46"/>
      <c r="K22" s="46"/>
      <c r="L22" s="1"/>
      <c r="M22" s="1"/>
      <c r="N22" s="47"/>
      <c r="O22" s="47"/>
      <c r="P22" s="45"/>
      <c r="Q22" s="45"/>
      <c r="R22" s="45"/>
      <c r="S22" s="45"/>
      <c r="T22" s="45"/>
      <c r="U22" s="45"/>
      <c r="V22" s="45"/>
      <c r="W22" s="48"/>
      <c r="X22" s="48"/>
      <c r="Y22" s="1"/>
      <c r="Z22" s="1"/>
      <c r="AA22" s="1"/>
      <c r="AB22" s="1"/>
      <c r="AC22" s="1"/>
      <c r="AD22" s="47"/>
      <c r="AE22" s="45"/>
      <c r="AF22" s="45"/>
      <c r="AG22" s="45"/>
      <c r="AH22" s="49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customFormat="false" ht="21.75" hidden="false" customHeight="true" outlineLevel="0" collapsed="false">
      <c r="A23" s="1"/>
      <c r="B23" s="45"/>
      <c r="C23" s="45"/>
      <c r="D23" s="45"/>
      <c r="E23" s="45"/>
      <c r="F23" s="45"/>
      <c r="G23" s="45"/>
      <c r="H23" s="45"/>
      <c r="I23" s="45"/>
      <c r="J23" s="46"/>
      <c r="K23" s="46"/>
      <c r="L23" s="1"/>
      <c r="M23" s="1"/>
      <c r="N23" s="47"/>
      <c r="O23" s="47"/>
      <c r="P23" s="45"/>
      <c r="Q23" s="45"/>
      <c r="R23" s="45"/>
      <c r="S23" s="45"/>
      <c r="T23" s="45"/>
      <c r="U23" s="45"/>
      <c r="V23" s="45"/>
      <c r="W23" s="48"/>
      <c r="X23" s="48"/>
      <c r="Y23" s="1"/>
      <c r="Z23" s="1"/>
      <c r="AA23" s="1"/>
      <c r="AB23" s="1"/>
      <c r="AC23" s="1"/>
      <c r="AD23" s="47"/>
      <c r="AE23" s="45"/>
      <c r="AF23" s="45"/>
      <c r="AG23" s="45"/>
      <c r="AH23" s="49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customFormat="false" ht="13.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customFormat="false" ht="27.75" hidden="false" customHeight="true" outlineLevel="0" collapsed="false">
      <c r="A25" s="1"/>
      <c r="B25" s="19" t="s">
        <v>22</v>
      </c>
      <c r="C25" s="19"/>
      <c r="D25" s="19"/>
      <c r="E25" s="19"/>
      <c r="F25" s="19"/>
      <c r="G25" s="19"/>
      <c r="H25" s="19"/>
      <c r="I25" s="19"/>
      <c r="J25" s="44" t="s">
        <v>21</v>
      </c>
      <c r="K25" s="44"/>
      <c r="L25" s="1"/>
      <c r="M25" s="1"/>
      <c r="N25" s="50" t="s">
        <v>23</v>
      </c>
      <c r="O25" s="50"/>
      <c r="P25" s="50"/>
      <c r="Q25" s="50"/>
      <c r="R25" s="50"/>
      <c r="S25" s="50"/>
      <c r="T25" s="50"/>
      <c r="U25" s="50"/>
      <c r="V25" s="50"/>
      <c r="W25" s="51" t="s">
        <v>21</v>
      </c>
      <c r="X25" s="51"/>
      <c r="Y25" s="1"/>
      <c r="Z25" s="1"/>
      <c r="AA25" s="1"/>
      <c r="AB25" s="1"/>
      <c r="AC25" s="1"/>
      <c r="AD25" s="19" t="inlineStr">
        <is>
          <t xml:space="preserve">🔒 Notice &amp; wedding party</t>
        </is>
      </c>
      <c r="AE25" s="19"/>
      <c r="AF25" s="19"/>
      <c r="AG25" s="19"/>
      <c r="AH25" s="44" t="inlineStr">
        <is>
          <t xml:space="preserve">            Unlock  ›            </t>
        </is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customFormat="false" ht="21.75" hidden="false" customHeight="true" outlineLevel="0" collapsed="false">
      <c r="A26" s="1"/>
      <c r="B26" s="52" t="s">
        <v>24</v>
      </c>
      <c r="C26" s="52"/>
      <c r="D26" s="52"/>
      <c r="E26" s="52"/>
      <c r="F26" s="52"/>
      <c r="G26" s="52"/>
      <c r="H26" s="52"/>
      <c r="I26" s="52"/>
      <c r="J26" s="53" t="n">
        <f aca="false">SUM(Budget!$K$7:$K$42)+SUMPRODUCT((Budget!$K$7:$K$42="")*Budget!$J$7:$J$42)</f>
        <v>0</v>
      </c>
      <c r="K26" s="53"/>
      <c r="L26" s="1"/>
      <c r="M26" s="1"/>
      <c r="N26" s="52" t="s">
        <v>25</v>
      </c>
      <c r="O26" s="52"/>
      <c r="P26" s="52"/>
      <c r="Q26" s="52"/>
      <c r="R26" s="52"/>
      <c r="S26" s="52"/>
      <c r="T26" s="52"/>
      <c r="U26" s="52"/>
      <c r="V26" s="52"/>
      <c r="W26" s="54" t="n">
        <f aca="false">SUM(Guests!$AI$7:$AI$506)</f>
        <v>0</v>
      </c>
      <c r="X26" s="54"/>
      <c r="Y26" s="1"/>
      <c r="Z26" s="1"/>
      <c r="AA26" s="1"/>
      <c r="AB26" s="1"/>
      <c r="AC26" s="1"/>
      <c r="AD26" s="52" t="inlineStr">
        <is>
          <t xml:space="preserve">🔒 In the full version</t>
        </is>
      </c>
      <c r="AE26" s="52"/>
      <c r="AF26" s="52"/>
      <c r="AG26" s="52"/>
      <c r="AH26" s="55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customFormat="false" ht="21.75" hidden="false" customHeight="true" outlineLevel="0" collapsed="false">
      <c r="A27" s="1"/>
      <c r="B27" s="52" t="s">
        <v>26</v>
      </c>
      <c r="C27" s="52"/>
      <c r="D27" s="52"/>
      <c r="E27" s="52"/>
      <c r="F27" s="52"/>
      <c r="G27" s="52"/>
      <c r="H27" s="52"/>
      <c r="I27" s="52"/>
      <c r="J27" s="53" t="n">
        <f aca="false">SUM(Budget!$R$7:$R$42)</f>
        <v>0</v>
      </c>
      <c r="K27" s="53"/>
      <c r="L27" s="1"/>
      <c r="M27" s="1"/>
      <c r="N27" s="52" t="s">
        <v>27</v>
      </c>
      <c r="O27" s="52"/>
      <c r="P27" s="52"/>
      <c r="Q27" s="52"/>
      <c r="R27" s="52"/>
      <c r="S27" s="52"/>
      <c r="T27" s="52"/>
      <c r="U27" s="52"/>
      <c r="V27" s="52"/>
      <c r="W27" s="54" t="str">
        <f aca="false">SUMIFS(Guests!$AN$7:$AN$506,Guests!$N$7:$N$506,"&lt;&gt;Evening only")&amp;" / "&amp;SUMIFS(Guests!$AN$7:$AN$506,Guests!$N$7:$N$506,"Evening only")</f>
        <v>0 / 0</v>
      </c>
      <c r="X27" s="54"/>
      <c r="Y27" s="1"/>
      <c r="Z27" s="1"/>
      <c r="AA27" s="1"/>
      <c r="AB27" s="1"/>
      <c r="AC27" s="1"/>
      <c r="AD27" s="52"/>
      <c r="AE27" s="52"/>
      <c r="AF27" s="52"/>
      <c r="AG27" s="52"/>
      <c r="AH27" s="54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customFormat="false" ht="21.75" hidden="false" customHeight="true" outlineLevel="0" collapsed="false">
      <c r="A28" s="1"/>
      <c r="B28" s="52" t="s">
        <v>28</v>
      </c>
      <c r="C28" s="52"/>
      <c r="D28" s="52"/>
      <c r="E28" s="52"/>
      <c r="F28" s="52"/>
      <c r="G28" s="52"/>
      <c r="H28" s="52"/>
      <c r="I28" s="52"/>
      <c r="J28" s="53" t="n">
        <f aca="false">SUM(Budget!$T$7:$T$42)</f>
        <v>0</v>
      </c>
      <c r="K28" s="53"/>
      <c r="L28" s="1"/>
      <c r="M28" s="1"/>
      <c r="N28" s="52" t="s">
        <v>29</v>
      </c>
      <c r="O28" s="52"/>
      <c r="P28" s="52"/>
      <c r="Q28" s="52"/>
      <c r="R28" s="52"/>
      <c r="S28" s="52"/>
      <c r="T28" s="52"/>
      <c r="U28" s="52"/>
      <c r="V28" s="52"/>
      <c r="W28" s="54" t="n">
        <f aca="false">SUMIFS(Guests!$AI$7:$AI$506,Guests!$U$7:$U$506,"Attending")</f>
        <v>0</v>
      </c>
      <c r="X28" s="54"/>
      <c r="Y28" s="1"/>
      <c r="Z28" s="1"/>
      <c r="AA28" s="1"/>
      <c r="AB28" s="1"/>
      <c r="AC28" s="1"/>
      <c r="AD28" s="52"/>
      <c r="AE28" s="52"/>
      <c r="AF28" s="52"/>
      <c r="AG28" s="52"/>
      <c r="AH28" s="54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customFormat="false" ht="21.75" hidden="false" customHeight="true" outlineLevel="0" collapsed="false">
      <c r="A29" s="1"/>
      <c r="B29" s="52" t="s">
        <v>30</v>
      </c>
      <c r="C29" s="52"/>
      <c r="D29" s="52"/>
      <c r="E29" s="52"/>
      <c r="F29" s="52"/>
      <c r="G29" s="52"/>
      <c r="H29" s="52"/>
      <c r="I29" s="52"/>
      <c r="J29" s="53" t="n">
        <f aca="false">SUM(Budget!$W$7:$W$42)</f>
        <v>0</v>
      </c>
      <c r="K29" s="53"/>
      <c r="L29" s="1"/>
      <c r="M29" s="1"/>
      <c r="N29" s="52" t="s">
        <v>31</v>
      </c>
      <c r="O29" s="52"/>
      <c r="P29" s="52"/>
      <c r="Q29" s="52"/>
      <c r="R29" s="52"/>
      <c r="S29" s="52"/>
      <c r="T29" s="52"/>
      <c r="U29" s="52"/>
      <c r="V29" s="52"/>
      <c r="W29" s="54" t="n">
        <f aca="false">(SUM(Guests!$AI$7:$AI$506)-SUMIFS(Guests!$AI$7:$AI$506,Guests!$U$7:$U$506,"Attending")-SUMIFS(Guests!$AI$7:$AI$506,Guests!$U$7:$U$506,"Declined"))</f>
        <v>0</v>
      </c>
      <c r="X29" s="54"/>
      <c r="Y29" s="1"/>
      <c r="Z29" s="1"/>
      <c r="AA29" s="1"/>
      <c r="AB29" s="1"/>
      <c r="AC29" s="1"/>
      <c r="AD29" s="52"/>
      <c r="AE29" s="52"/>
      <c r="AF29" s="52"/>
      <c r="AG29" s="52"/>
      <c r="AH29" s="54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customFormat="false" ht="21.75" hidden="false" customHeight="true" outlineLevel="0" collapsed="false">
      <c r="A30" s="1"/>
      <c r="B30" s="52" t="s">
        <v>32</v>
      </c>
      <c r="C30" s="52"/>
      <c r="D30" s="52"/>
      <c r="E30" s="52"/>
      <c r="F30" s="52"/>
      <c r="G30" s="52"/>
      <c r="H30" s="52"/>
      <c r="I30" s="52"/>
      <c r="J30" s="53" t="n">
        <f aca="false">(SUM(Budget!$R$7:$R$42)+SUMPRODUCT((Budget!$R$7:$R$42="")*(Budget!$K$7:$K$42&lt;&gt;"")*Budget!$K$7:$K$42)+SUMPRODUCT((Budget!$R$7:$R$42="")*(Budget!$K$7:$K$42="")*Budget!$J$7:$J$42))</f>
        <v>0</v>
      </c>
      <c r="K30" s="53"/>
      <c r="L30" s="1"/>
      <c r="M30" s="1"/>
      <c r="N30" s="52" t="s">
        <v>33</v>
      </c>
      <c r="O30" s="52"/>
      <c r="P30" s="52"/>
      <c r="Q30" s="52"/>
      <c r="R30" s="52"/>
      <c r="S30" s="52"/>
      <c r="T30" s="52"/>
      <c r="U30" s="52"/>
      <c r="V30" s="52"/>
      <c r="W30" s="55" t="str">
        <f aca="false">SUMIFS(Guests!$AQ$7:$AQ$506,Guests!$U$7:$U$506,"Attending",Guests!$N$7:$N$506,"&lt;&gt;Evening only")&amp;" / "&amp;COUNTIFS(Guests!$I$7:$I$506,"Yes",Guests!$AI$7:$AI$506,1,Guests!$U$7:$U$506,"Attending",Guests!$N$7:$N$506,"&lt;&gt;Evening only")</f>
        <v>0 / 0</v>
      </c>
      <c r="X30" s="55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customFormat="false" ht="27.75" hidden="false" customHeight="true" outlineLevel="0" collapsed="false">
      <c r="A31" s="1"/>
      <c r="B31" s="52" t="s">
        <v>34</v>
      </c>
      <c r="C31" s="52"/>
      <c r="D31" s="52"/>
      <c r="E31" s="52"/>
      <c r="F31" s="52"/>
      <c r="G31" s="52"/>
      <c r="H31" s="52"/>
      <c r="I31" s="52"/>
      <c r="J31" s="53" t="str">
        <f aca="false">IF(INDEX(Dashboard!$D:$D,9)="","",INDEX(Dashboard!$D:$D,9)-(SUM(Budget!$R$7:$R$42)+SUMPRODUCT((Budget!$R$7:$R$42="")*(Budget!$K$7:$K$42&lt;&gt;"")*Budget!$K$7:$K$42)+SUMPRODUCT((Budget!$R$7:$R$42="")*(Budget!$K$7:$K$42="")*Budget!$J$7:$J$42)))</f>
        <v/>
      </c>
      <c r="K31" s="53"/>
      <c r="L31" s="1"/>
      <c r="M31" s="1"/>
      <c r="N31" s="52" t="s">
        <v>35</v>
      </c>
      <c r="O31" s="52"/>
      <c r="P31" s="52"/>
      <c r="Q31" s="52"/>
      <c r="R31" s="52"/>
      <c r="S31" s="52"/>
      <c r="T31" s="52"/>
      <c r="U31" s="52"/>
      <c r="V31" s="52"/>
      <c r="W31" s="54" t="n">
        <f aca="false">SUMIFS(Guests!$AI$7:$AI$506,Guests!$U$7:$U$506,"Attending",Guests!$N$7:$N$506,"Evening only")</f>
        <v>0</v>
      </c>
      <c r="X31" s="54"/>
      <c r="Y31" s="1"/>
      <c r="Z31" s="1"/>
      <c r="AA31" s="1" t="s">
        <v>28</v>
      </c>
      <c r="AB31" s="43" t="n">
        <f aca="false">SUM(Budget!$T$7:$T$42)</f>
        <v>0</v>
      </c>
      <c r="AC31" s="1"/>
      <c r="AD31" s="19" t="inlineStr">
        <is>
          <t xml:space="preserve">🔒 Suppliers</t>
        </is>
      </c>
      <c r="AE31" s="19"/>
      <c r="AF31" s="19"/>
      <c r="AG31" s="19"/>
      <c r="AH31" s="44" t="inlineStr">
        <is>
          <t xml:space="preserve">            Unlock  ›            </t>
        </is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customFormat="false" ht="21.75" hidden="false" customHeight="true" outlineLevel="0" collapsed="false">
      <c r="A32" s="1"/>
      <c r="B32" s="52" t="s">
        <v>37</v>
      </c>
      <c r="C32" s="52"/>
      <c r="D32" s="52"/>
      <c r="E32" s="52"/>
      <c r="F32" s="52"/>
      <c r="G32" s="52"/>
      <c r="H32" s="52"/>
      <c r="I32" s="52"/>
      <c r="J32" s="56" t="n">
        <f aca="false">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</f>
        <v>0</v>
      </c>
      <c r="K32" s="56"/>
      <c r="L32" s="1"/>
      <c r="M32" s="1"/>
      <c r="N32" s="52" t="s">
        <v>38</v>
      </c>
      <c r="O32" s="52"/>
      <c r="P32" s="52"/>
      <c r="Q32" s="52"/>
      <c r="R32" s="52"/>
      <c r="S32" s="52"/>
      <c r="T32" s="52"/>
      <c r="U32" s="52"/>
      <c r="V32" s="52"/>
      <c r="W32" s="54" t="n">
        <f aca="false">SUMIFS(Guests!$AI$7:$AI$506,Guests!$U$7:$U$506,"Attending",Guests!$V$7:$V$506,"Yes")</f>
        <v>0</v>
      </c>
      <c r="X32" s="54"/>
      <c r="Y32" s="1"/>
      <c r="Z32" s="1"/>
      <c r="AA32" s="1" t="s">
        <v>30</v>
      </c>
      <c r="AB32" s="43" t="n">
        <f aca="false">SUM(Budget!$W$7:$W$42)</f>
        <v>0</v>
      </c>
      <c r="AC32" s="1"/>
      <c r="AD32" s="52" t="inlineStr">
        <is>
          <t xml:space="preserve">🔒 In the full version</t>
        </is>
      </c>
      <c r="AE32" s="52"/>
      <c r="AF32" s="52"/>
      <c r="AG32" s="52"/>
      <c r="AH32" s="54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customFormat="false" ht="21.75" hidden="false" customHeight="true" outlineLevel="0" collapsed="false">
      <c r="A33" s="1"/>
      <c r="B33" s="52" t="s">
        <v>40</v>
      </c>
      <c r="C33" s="52"/>
      <c r="D33" s="52"/>
      <c r="E33" s="52"/>
      <c r="F33" s="52"/>
      <c r="G33" s="52"/>
      <c r="H33" s="52"/>
      <c r="I33" s="52"/>
      <c r="J33" s="53" t="n">
        <f aca="false">Budget!$AB$18</f>
        <v>0</v>
      </c>
      <c r="K33" s="53"/>
      <c r="L33" s="1"/>
      <c r="M33" s="1"/>
      <c r="N33" s="52" t="s">
        <v>41</v>
      </c>
      <c r="O33" s="52"/>
      <c r="P33" s="52"/>
      <c r="Q33" s="52"/>
      <c r="R33" s="52"/>
      <c r="S33" s="52"/>
      <c r="T33" s="52"/>
      <c r="U33" s="52"/>
      <c r="V33" s="52"/>
      <c r="W33" s="54" t="n">
        <f aca="false">COUNTIFS(Guests!$X$7:$X$506,"?*",Guests!$U$7:$U$506,"&lt;&gt;Declined",Guests!$AI$7:$AI$506,1)</f>
        <v>0</v>
      </c>
      <c r="X33" s="54"/>
      <c r="Y33" s="1"/>
      <c r="Z33" s="1"/>
      <c r="AA33" s="1" t="s">
        <v>42</v>
      </c>
      <c r="AB33" s="43" t="n">
        <f aca="false">MAX(0,(SUM(Budget!$R$7:$R$42)+SUMPRODUCT((Budget!$R$7:$R$42="")*(Budget!$K$7:$K$42&lt;&gt;"")*Budget!$K$7:$K$42)+SUMPRODUCT((Budget!$R$7:$R$42="")*(Budget!$K$7:$K$42="")*Budget!$J$7:$J$42))-SUM(Budget!$R$7:$R$42))</f>
        <v>0</v>
      </c>
      <c r="AC33" s="1"/>
      <c r="AD33" s="52"/>
      <c r="AE33" s="52"/>
      <c r="AF33" s="52"/>
      <c r="AG33" s="52"/>
      <c r="AH33" s="54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customFormat="false" ht="21.75" hidden="false" customHeight="true" outlineLevel="0" collapsed="false">
      <c r="A34" s="1"/>
      <c r="B34" s="45" t="str">
        <f aca="false">IF((Budget!$AB$19-Budget!$AB$18)&gt;0,"Still to fund","Funding margin")</f>
        <v>Funding margin</v>
      </c>
      <c r="C34" s="45"/>
      <c r="D34" s="45"/>
      <c r="E34" s="45"/>
      <c r="F34" s="45"/>
      <c r="G34" s="45"/>
      <c r="H34" s="45"/>
      <c r="I34" s="45"/>
      <c r="J34" s="53" t="n">
        <f aca="false">ABS((Budget!$AB$19-Budget!$AB$18))</f>
        <v>0</v>
      </c>
      <c r="K34" s="53"/>
      <c r="L34" s="1"/>
      <c r="M34" s="1"/>
      <c r="N34" s="52" t="s">
        <v>43</v>
      </c>
      <c r="O34" s="52"/>
      <c r="P34" s="52"/>
      <c r="Q34" s="52"/>
      <c r="R34" s="52"/>
      <c r="S34" s="52"/>
      <c r="T34" s="52"/>
      <c r="U34" s="52"/>
      <c r="V34" s="52"/>
      <c r="W34" s="54" t="n">
        <f aca="false">(SUM(Guests!$AN$7:$AN$506)-SUM(Guests!$AO$7:$AO$506))</f>
        <v>0</v>
      </c>
      <c r="X34" s="54"/>
      <c r="Y34" s="1"/>
      <c r="Z34" s="1"/>
      <c r="AA34" s="1"/>
      <c r="AB34" s="1"/>
      <c r="AC34" s="1"/>
      <c r="AD34" s="52"/>
      <c r="AE34" s="52"/>
      <c r="AF34" s="52"/>
      <c r="AG34" s="52"/>
      <c r="AH34" s="54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customFormat="false" ht="21.75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2" t="s">
        <v>44</v>
      </c>
      <c r="O35" s="52"/>
      <c r="P35" s="52"/>
      <c r="Q35" s="52"/>
      <c r="R35" s="52"/>
      <c r="S35" s="52"/>
      <c r="T35" s="52"/>
      <c r="U35" s="52"/>
      <c r="V35" s="52"/>
      <c r="W35" s="54" t="n">
        <f aca="false">COUNTIFS(Guests!$AA$7:$AA$506,"To find",Guests!$AI$7:$AI$506,1)</f>
        <v>0</v>
      </c>
      <c r="X35" s="54"/>
      <c r="Y35" s="1"/>
      <c r="Z35" s="1"/>
      <c r="AA35" s="1"/>
      <c r="AB35" s="1"/>
      <c r="AC35" s="1"/>
      <c r="AD35" s="52"/>
      <c r="AE35" s="52"/>
      <c r="AF35" s="52"/>
      <c r="AG35" s="52"/>
      <c r="AH35" s="53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customFormat="false" ht="27.75" hidden="false" customHeight="true" outlineLevel="0" collapsed="false">
      <c r="A36" s="1"/>
      <c r="B36" s="50" t="inlineStr">
        <is>
          <t xml:space="preserve">🔒 Thank yous</t>
        </is>
      </c>
      <c r="C36" s="50"/>
      <c r="D36" s="50"/>
      <c r="E36" s="50"/>
      <c r="F36" s="50"/>
      <c r="G36" s="50"/>
      <c r="H36" s="50"/>
      <c r="I36" s="50"/>
      <c r="J36" s="51" t="inlineStr">
        <is>
          <t xml:space="preserve">            Unlock  ›            </t>
        </is>
      </c>
      <c r="K36" s="51"/>
      <c r="L36" s="1"/>
      <c r="M36" s="1"/>
      <c r="N36" s="52" t="s">
        <v>45</v>
      </c>
      <c r="O36" s="52"/>
      <c r="P36" s="52"/>
      <c r="Q36" s="52"/>
      <c r="R36" s="52"/>
      <c r="S36" s="52"/>
      <c r="T36" s="52"/>
      <c r="U36" s="52"/>
      <c r="V36" s="52"/>
      <c r="W36" s="54" t="n">
        <f aca="false">SUMIFS(Guests!$AI$7:$AI$506,Guests!$U$7:$U$506,"Attending",Guests!$AC$7:$AC$506,"Yes")</f>
        <v>0</v>
      </c>
      <c r="X36" s="54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customFormat="false" ht="27.75" hidden="false" customHeight="true" outlineLevel="0" collapsed="false">
      <c r="A37" s="1"/>
      <c r="B37" s="52" t="inlineStr">
        <is>
          <t xml:space="preserve">🔒 In the full version</t>
        </is>
      </c>
      <c r="C37" s="52"/>
      <c r="D37" s="52"/>
      <c r="E37" s="52"/>
      <c r="F37" s="52"/>
      <c r="G37" s="52"/>
      <c r="H37" s="52"/>
      <c r="I37" s="52"/>
      <c r="J37" s="54"/>
      <c r="K37" s="5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50" t="inlineStr">
        <is>
          <t xml:space="preserve">🔒 On the day</t>
        </is>
      </c>
      <c r="AE37" s="50"/>
      <c r="AF37" s="50"/>
      <c r="AG37" s="50"/>
      <c r="AH37" s="51" t="inlineStr">
        <is>
          <t xml:space="preserve">            Unlock  ›            </t>
        </is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customFormat="false" ht="21.75" hidden="false" customHeight="true" outlineLevel="0" collapsed="false">
      <c r="A38" s="1"/>
      <c r="B38" s="52"/>
      <c r="C38" s="52"/>
      <c r="D38" s="52"/>
      <c r="E38" s="52"/>
      <c r="F38" s="52"/>
      <c r="G38" s="52"/>
      <c r="H38" s="52"/>
      <c r="I38" s="52"/>
      <c r="J38" s="54"/>
      <c r="K38" s="5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52" t="inlineStr">
        <is>
          <t xml:space="preserve">🔒 In the full version</t>
        </is>
      </c>
      <c r="AE38" s="52"/>
      <c r="AF38" s="52"/>
      <c r="AG38" s="52"/>
      <c r="AH38" s="54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customFormat="false" ht="21.75" hidden="false" customHeight="true" outlineLevel="0" collapsed="false">
      <c r="A39" s="1"/>
      <c r="B39" s="52"/>
      <c r="C39" s="52"/>
      <c r="D39" s="52"/>
      <c r="E39" s="52"/>
      <c r="F39" s="52"/>
      <c r="G39" s="52"/>
      <c r="H39" s="52"/>
      <c r="I39" s="52"/>
      <c r="J39" s="54"/>
      <c r="K39" s="5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52"/>
      <c r="AE39" s="52"/>
      <c r="AF39" s="52"/>
      <c r="AG39" s="52"/>
      <c r="AH39" s="54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customFormat="false" ht="21.75" hidden="false" customHeight="true" outlineLevel="0" collapsed="false">
      <c r="A40" s="1"/>
      <c r="B40" s="52"/>
      <c r="C40" s="52"/>
      <c r="D40" s="52"/>
      <c r="E40" s="52"/>
      <c r="F40" s="52"/>
      <c r="G40" s="52"/>
      <c r="H40" s="52"/>
      <c r="I40" s="52"/>
      <c r="J40" s="54"/>
      <c r="K40" s="5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52"/>
      <c r="AE40" s="52"/>
      <c r="AF40" s="52"/>
      <c r="AG40" s="52"/>
      <c r="AH40" s="55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customFormat="false" ht="21.75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47</v>
      </c>
      <c r="AB41" s="43" t="n">
        <f aca="false">SUMIFS(Guests!$AI$7:$AI$506,Guests!$U$7:$U$506,"Attending")</f>
        <v>0</v>
      </c>
      <c r="AC41" s="1"/>
      <c r="AD41" s="52"/>
      <c r="AE41" s="52"/>
      <c r="AF41" s="52"/>
      <c r="AG41" s="52"/>
      <c r="AH41" s="55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customFormat="false" ht="21.75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 t="s">
        <v>31</v>
      </c>
      <c r="AB42" s="43" t="n">
        <f aca="false">(SUM(Guests!$AI$7:$AI$506)-SUMIFS(Guests!$AI$7:$AI$506,Guests!$U$7:$U$506,"Attending")-SUMIFS(Guests!$AI$7:$AI$506,Guests!$U$7:$U$506,"Declined"))</f>
        <v>0</v>
      </c>
      <c r="AC42" s="1"/>
      <c r="AD42" s="52"/>
      <c r="AE42" s="52"/>
      <c r="AF42" s="52"/>
      <c r="AG42" s="52"/>
      <c r="AH42" s="54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customFormat="false" ht="13.5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 t="s">
        <v>48</v>
      </c>
      <c r="AB43" s="43" t="n">
        <f aca="false">SUMIFS(Guests!$AI$7:$AI$506,Guests!$U$7:$U$506,"Declined")</f>
        <v>0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customFormat="false" ht="27.75" hidden="false" customHeight="true" outlineLevel="0" collapsed="false">
      <c r="A44" s="1"/>
      <c r="B44" s="19" t="s">
        <v>49</v>
      </c>
      <c r="C44" s="19"/>
      <c r="D44" s="19"/>
      <c r="E44" s="19"/>
      <c r="F44" s="19"/>
      <c r="G44" s="19"/>
      <c r="H44" s="19"/>
      <c r="I44" s="19"/>
      <c r="J44" s="44" t="s">
        <v>21</v>
      </c>
      <c r="K44" s="44"/>
      <c r="L44" s="1"/>
      <c r="M44" s="1"/>
      <c r="N44" s="50" t="s">
        <v>50</v>
      </c>
      <c r="O44" s="50"/>
      <c r="P44" s="50"/>
      <c r="Q44" s="50"/>
      <c r="R44" s="50"/>
      <c r="S44" s="50"/>
      <c r="T44" s="50"/>
      <c r="U44" s="50"/>
      <c r="V44" s="50"/>
      <c r="W44" s="51" t="s">
        <v>21</v>
      </c>
      <c r="X44" s="51"/>
      <c r="Y44" s="1"/>
      <c r="Z44" s="1"/>
      <c r="AA44" s="1"/>
      <c r="AB44" s="1"/>
      <c r="AC44" s="1"/>
      <c r="AD44" s="19" t="inlineStr">
        <is>
          <t xml:space="preserve">🔒 Shopping</t>
        </is>
      </c>
      <c r="AE44" s="19"/>
      <c r="AF44" s="19"/>
      <c r="AG44" s="19"/>
      <c r="AH44" s="44" t="inlineStr">
        <is>
          <t xml:space="preserve">            Unlock  ›            </t>
        </is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customFormat="false" ht="21.7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52" t="inlineStr">
        <is>
          <t xml:space="preserve">🔒 In the full version</t>
        </is>
      </c>
      <c r="AE45" s="52"/>
      <c r="AF45" s="52"/>
      <c r="AG45" s="52"/>
      <c r="AH45" s="54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customFormat="false" ht="21.75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52"/>
      <c r="AE46" s="52"/>
      <c r="AF46" s="52"/>
      <c r="AG46" s="52"/>
      <c r="AH46" s="54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customFormat="false" ht="21.75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52"/>
      <c r="AE47" s="52"/>
      <c r="AF47" s="52"/>
      <c r="AG47" s="52"/>
      <c r="AH47" s="53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customFormat="false" ht="21.75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52"/>
      <c r="AE48" s="52"/>
      <c r="AF48" s="52"/>
      <c r="AG48" s="52"/>
      <c r="AH48" s="53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customFormat="false" ht="18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customFormat="false" ht="30" hidden="false" customHeight="true" outlineLevel="0" collapsed="false">
      <c r="A62" s="1"/>
      <c r="B62" s="19" t="s">
        <v>51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customFormat="false" ht="24" hidden="false" customHeight="true" outlineLevel="0" collapsed="false">
      <c r="A63" s="1"/>
      <c r="B63" s="57" t="s">
        <v>52</v>
      </c>
      <c r="C63" s="57"/>
      <c r="D63" s="58" t="s">
        <v>53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customFormat="false" ht="24" hidden="false" customHeight="true" outlineLevel="0" collapsed="false">
      <c r="A64" s="1"/>
      <c r="B64" s="59" t="s">
        <v>54</v>
      </c>
      <c r="C64" s="59"/>
      <c r="D64" s="58" t="s">
        <v>55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customFormat="false" ht="24" hidden="false" customHeight="true" outlineLevel="0" collapsed="false">
      <c r="A65" s="1"/>
      <c r="B65" s="60" t="s">
        <v>56</v>
      </c>
      <c r="C65" s="60"/>
      <c r="D65" s="58" t="s">
        <v>57</v>
      </c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customFormat="false" ht="24" hidden="false" customHeight="true" outlineLevel="0" collapsed="false">
      <c r="A66" s="1"/>
      <c r="B66" s="61" t="s">
        <v>58</v>
      </c>
      <c r="C66" s="61"/>
      <c r="D66" s="58" t="s">
        <v>59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customFormat="false" ht="24" hidden="false" customHeight="true" outlineLevel="0" collapsed="false">
      <c r="A68" s="1"/>
      <c r="B68" s="61" t="s">
        <v>60</v>
      </c>
      <c r="C68" s="61"/>
      <c r="D68" s="58" t="s">
        <v>61</v>
      </c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customFormat="false" ht="24" hidden="false" customHeight="true" outlineLevel="0" collapsed="false">
      <c r="A69" s="1"/>
      <c r="B69" s="61" t="s">
        <v>60</v>
      </c>
      <c r="C69" s="61"/>
      <c r="D69" s="58" t="s">
        <v>62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customFormat="false" ht="24" hidden="false" customHeight="true" outlineLevel="0" collapsed="false">
      <c r="A70" s="1"/>
      <c r="B70" s="61" t="s">
        <v>60</v>
      </c>
      <c r="C70" s="61"/>
      <c r="D70" s="58" t="s">
        <v>63</v>
      </c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customFormat="false" ht="36" hidden="false" customHeight="true" outlineLevel="0" collapsed="false">
      <c r="A71" s="1"/>
      <c r="B71" s="61" t="s">
        <v>60</v>
      </c>
      <c r="C71" s="61"/>
      <c r="D71" s="58" t="s">
        <v>64</v>
      </c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customFormat="false" ht="36" hidden="false" customHeight="true" outlineLevel="0" collapsed="false">
      <c r="A72" s="1"/>
      <c r="B72" s="61" t="s">
        <v>60</v>
      </c>
      <c r="C72" s="61"/>
      <c r="D72" s="58" t="s">
        <v>65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customFormat="false" ht="24" hidden="false" customHeight="true" outlineLevel="0" collapsed="false">
      <c r="A73" s="1"/>
      <c r="B73" s="61" t="s">
        <v>60</v>
      </c>
      <c r="C73" s="61"/>
      <c r="D73" s="58" t="s">
        <v>66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customFormat="false" ht="24" hidden="false" customHeight="true" outlineLevel="0" collapsed="false">
      <c r="A74" s="1"/>
      <c r="B74" s="61" t="s">
        <v>60</v>
      </c>
      <c r="C74" s="61"/>
      <c r="D74" s="58" t="s">
        <v>67</v>
      </c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customFormat="false" ht="24" hidden="false" customHeight="true" outlineLevel="0" collapsed="false">
      <c r="A75" s="1"/>
      <c r="B75" s="61" t="s">
        <v>60</v>
      </c>
      <c r="C75" s="61"/>
      <c r="D75" s="58" t="s">
        <v>68</v>
      </c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customFormat="false" ht="24" hidden="false" customHeight="true" outlineLevel="0" collapsed="false">
      <c r="A76" s="1"/>
      <c r="B76" s="61" t="s">
        <v>60</v>
      </c>
      <c r="C76" s="61"/>
      <c r="D76" s="58" t="s">
        <v>69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customFormat="false" ht="30" hidden="false" customHeight="true" outlineLevel="0" collapsed="false">
      <c r="A78" s="1"/>
      <c r="B78" s="19" t="s">
        <v>70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customFormat="false" ht="48.75" hidden="false" customHeight="true" outlineLevel="0" collapsed="false">
      <c r="A79" s="1"/>
      <c r="B79" s="62" t="s">
        <v>22</v>
      </c>
      <c r="C79" s="62"/>
      <c r="D79" s="58" t="s">
        <v>71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customFormat="false" ht="36" hidden="false" customHeight="true" outlineLevel="0" collapsed="false">
      <c r="A80" s="1"/>
      <c r="B80" s="62" t="inlineStr">
        <is>
          <t xml:space="preserve">🔒 Payments</t>
        </is>
      </c>
      <c r="C80" s="62"/>
      <c r="D80" s="58" t="s">
        <v>72</v>
      </c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customFormat="false" ht="36" hidden="false" customHeight="true" outlineLevel="0" collapsed="false">
      <c r="A81" s="1"/>
      <c r="B81" s="62" t="inlineStr">
        <is>
          <t xml:space="preserve">🔒 Suppliers</t>
        </is>
      </c>
      <c r="C81" s="62"/>
      <c r="D81" s="58" t="s">
        <v>73</v>
      </c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customFormat="false" ht="36" hidden="false" customHeight="true" outlineLevel="0" collapsed="false">
      <c r="A82" s="1"/>
      <c r="B82" s="62" t="inlineStr">
        <is>
          <t xml:space="preserve">🔒 Shopping</t>
        </is>
      </c>
      <c r="C82" s="62"/>
      <c r="D82" s="58" t="s">
        <v>74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customFormat="false" ht="36" hidden="false" customHeight="true" outlineLevel="0" collapsed="false">
      <c r="A83" s="1"/>
      <c r="B83" s="63" t="s">
        <v>23</v>
      </c>
      <c r="C83" s="63"/>
      <c r="D83" s="58" t="s">
        <v>75</v>
      </c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customFormat="false" ht="36" hidden="false" customHeight="true" outlineLevel="0" collapsed="false">
      <c r="A84" s="1"/>
      <c r="B84" s="63" t="inlineStr">
        <is>
          <t xml:space="preserve">🔒 Tables</t>
        </is>
      </c>
      <c r="C84" s="63"/>
      <c r="D84" s="58" t="s">
        <v>76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customFormat="false" ht="48.75" hidden="false" customHeight="true" outlineLevel="0" collapsed="false">
      <c r="A85" s="1"/>
      <c r="B85" s="63" t="inlineStr">
        <is>
          <t xml:space="preserve">🔒 Seating plan</t>
        </is>
      </c>
      <c r="C85" s="63"/>
      <c r="D85" s="58" t="s">
        <v>77</v>
      </c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customFormat="false" ht="48.75" hidden="false" customHeight="true" outlineLevel="0" collapsed="false">
      <c r="A86" s="1"/>
      <c r="B86" s="63" t="inlineStr">
        <is>
          <t xml:space="preserve">🔒 Catering</t>
        </is>
      </c>
      <c r="C86" s="63"/>
      <c r="D86" s="58" t="s">
        <v>78</v>
      </c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customFormat="false" ht="36" hidden="false" customHeight="true" outlineLevel="0" collapsed="false">
      <c r="A87" s="1"/>
      <c r="B87" s="62" t="inlineStr">
        <is>
          <t xml:space="preserve">🔒 Checklist</t>
        </is>
      </c>
      <c r="C87" s="62"/>
      <c r="D87" s="58" t="s">
        <v>79</v>
      </c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customFormat="false" ht="36" hidden="false" customHeight="true" outlineLevel="0" collapsed="false">
      <c r="A88" s="1"/>
      <c r="B88" s="62" t="inlineStr">
        <is>
          <t xml:space="preserve">🔒 Appointments</t>
        </is>
      </c>
      <c r="C88" s="62"/>
      <c r="D88" s="58" t="s">
        <v>80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customFormat="false" ht="36" hidden="false" customHeight="true" outlineLevel="0" collapsed="false">
      <c r="A89" s="1"/>
      <c r="B89" s="62" t="inlineStr">
        <is>
          <t xml:space="preserve">🔒 Giving notice</t>
        </is>
      </c>
      <c r="C89" s="62"/>
      <c r="D89" s="58" t="s">
        <v>82</v>
      </c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customFormat="false" ht="36" hidden="false" customHeight="true" outlineLevel="0" collapsed="false">
      <c r="A90" s="1"/>
      <c r="B90" s="62" t="inlineStr">
        <is>
          <t xml:space="preserve">🔒 Contacts</t>
        </is>
      </c>
      <c r="C90" s="62"/>
      <c r="D90" s="58" t="s">
        <v>83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customFormat="false" ht="36" hidden="false" customHeight="true" outlineLevel="0" collapsed="false">
      <c r="A91" s="1"/>
      <c r="B91" s="63" t="inlineStr">
        <is>
          <t xml:space="preserve">🔒 Ceremony</t>
        </is>
      </c>
      <c r="C91" s="63"/>
      <c r="D91" s="58" t="s">
        <v>85</v>
      </c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customFormat="false" ht="36" hidden="false" customHeight="true" outlineLevel="0" collapsed="false">
      <c r="A92" s="1"/>
      <c r="B92" s="63" t="inlineStr">
        <is>
          <t xml:space="preserve">🔒 Music</t>
        </is>
      </c>
      <c r="C92" s="63"/>
      <c r="D92" s="58" t="s">
        <v>86</v>
      </c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customFormat="false" ht="36" hidden="false" customHeight="true" outlineLevel="0" collapsed="false">
      <c r="A93" s="1"/>
      <c r="B93" s="63" t="inlineStr">
        <is>
          <t xml:space="preserve">🔒 On the day</t>
        </is>
      </c>
      <c r="C93" s="63"/>
      <c r="D93" s="58" t="s">
        <v>87</v>
      </c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customFormat="false" ht="36" hidden="false" customHeight="true" outlineLevel="0" collapsed="false">
      <c r="A94" s="1"/>
      <c r="B94" s="63" t="inlineStr">
        <is>
          <t xml:space="preserve">🔒 Thank yous</t>
        </is>
      </c>
      <c r="C94" s="63"/>
      <c r="D94" s="58" t="s">
        <v>88</v>
      </c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customFormat="false" ht="36" hidden="false" customHeight="true" outlineLevel="0" collapsed="false">
      <c r="A95" s="1"/>
      <c r="B95" s="64" t="inlineStr">
        <is>
          <t xml:space="preserve">🔒 Notes</t>
        </is>
      </c>
      <c r="C95" s="64"/>
      <c r="D95" s="58" t="s">
        <v>90</v>
      </c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customFormat="false" ht="30" hidden="false" customHeight="true" outlineLevel="0" collapsed="false">
      <c r="A97" s="1"/>
      <c r="B97" s="65" t="inlineStr">
        <is>
          <t xml:space="preserve">🔒 Full version: 18 tabs, seating plan, checklist, payments, giving notice, on the day… + 3 bonus PDFs. Click here to see it on Etsy.</t>
        </is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customFormat="false" ht="48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customFormat="false" ht="25.5" hidden="false" customHeight="true" outlineLevel="0" collapsed="false">
      <c r="A100" s="1"/>
      <c r="B100" s="66" t="s">
        <v>91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customFormat="false" ht="27.75" hidden="false" customHeight="true" outlineLevel="0" collapsed="false">
      <c r="A101" s="1"/>
      <c r="B101" s="67" t="s">
        <v>92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customFormat="false" ht="1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customFormat="false" ht="1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customFormat="false" ht="1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customFormat="false" ht="1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customFormat="false" ht="1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customFormat="false" ht="1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customFormat="false" ht="1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customFormat="false" ht="1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customFormat="false" ht="1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customFormat="false" ht="15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customFormat="false" ht="15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customFormat="false" ht="15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customFormat="false" ht="15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customFormat="false" ht="15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customFormat="false" ht="15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customFormat="false" ht="15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customFormat="false" ht="15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customFormat="false" ht="15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customFormat="false" ht="15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customFormat="false" ht="15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customFormat="false" ht="15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61" customFormat="false" ht="15" hidden="false" customHeight="false" outlineLevel="0" collapsed="false">
      <c r="AA161" s="68"/>
      <c r="AB161" s="69" t="str">
        <f aca="false">IF(AA161="","",COUNTIF($AA$161:AA161,"?*"))</f>
        <v/>
      </c>
    </row>
    <row r="162" customFormat="false" ht="15" hidden="false" customHeight="false" outlineLevel="0" collapsed="false">
      <c r="AA162" s="68"/>
      <c r="AB162" s="69" t="str">
        <f aca="false">IF(AA162="","",COUNTIF($AA$161:AA162,"?*"))</f>
        <v/>
      </c>
    </row>
    <row r="163" customFormat="false" ht="15" hidden="false" customHeight="false" outlineLevel="0" collapsed="false">
      <c r="AA163" s="68"/>
      <c r="AB163" s="69" t="str">
        <f aca="false">IF(AA163="","",COUNTIF($AA$161:AA163,"?*"))</f>
        <v/>
      </c>
    </row>
    <row r="164" customFormat="false" ht="15" hidden="false" customHeight="false" outlineLevel="0" collapsed="false">
      <c r="AA164" s="68"/>
      <c r="AB164" s="69" t="str">
        <f aca="false">IF(AA164="","",COUNTIF($AA$161:AA164,"?*"))</f>
        <v/>
      </c>
    </row>
    <row r="165" customFormat="false" ht="15" hidden="false" customHeight="false" outlineLevel="0" collapsed="false">
      <c r="AA165" s="68"/>
      <c r="AB165" s="69" t="str">
        <f aca="false">IF(AA165="","",COUNTIF($AA$161:AA165,"?*"))</f>
        <v/>
      </c>
    </row>
    <row r="166" customFormat="false" ht="15" hidden="false" customHeight="false" outlineLevel="0" collapsed="false">
      <c r="AA166" s="68"/>
      <c r="AB166" s="69" t="str">
        <f aca="false">IF(AA166="","",COUNTIF($AA$161:AA166,"?*"))</f>
        <v/>
      </c>
    </row>
    <row r="167" customFormat="false" ht="15" hidden="false" customHeight="false" outlineLevel="0" collapsed="false">
      <c r="AA167" s="68"/>
      <c r="AB167" s="69" t="str">
        <f aca="false">IF(AA167="","",COUNTIF($AA$161:AA167,"?*"))</f>
        <v/>
      </c>
    </row>
    <row r="168" customFormat="false" ht="15" hidden="false" customHeight="false" outlineLevel="0" collapsed="false">
      <c r="AA168" s="68"/>
      <c r="AB168" s="69" t="str">
        <f aca="false">IF(AA168="","",COUNTIF($AA$161:AA168,"?*"))</f>
        <v/>
      </c>
    </row>
    <row r="169" customFormat="false" ht="15" hidden="false" customHeight="false" outlineLevel="0" collapsed="false">
      <c r="AA169" s="68"/>
      <c r="AB169" s="69" t="str">
        <f aca="false">IF(AA169="","",COUNTIF($AA$161:AA169,"?*"))</f>
        <v/>
      </c>
    </row>
    <row r="170" customFormat="false" ht="15" hidden="false" customHeight="false" outlineLevel="0" collapsed="false">
      <c r="AA170" s="68"/>
      <c r="AB170" s="69" t="str">
        <f aca="false">IF(AA170="","",COUNTIF($AA$161:AA170,"?*"))</f>
        <v/>
      </c>
    </row>
    <row r="171" customFormat="false" ht="15" hidden="false" customHeight="false" outlineLevel="0" collapsed="false">
      <c r="AA171" s="68"/>
      <c r="AB171" s="69" t="str">
        <f aca="false">IF(AA171="","",COUNTIF($AA$161:AA171,"?*"))</f>
        <v/>
      </c>
    </row>
    <row r="172" customFormat="false" ht="15" hidden="false" customHeight="false" outlineLevel="0" collapsed="false">
      <c r="AA172" s="68"/>
      <c r="AB172" s="69" t="str">
        <f aca="false">IF(AA172="","",COUNTIF($AA$161:AA172,"?*"))</f>
        <v/>
      </c>
    </row>
    <row r="173" customFormat="false" ht="15" hidden="false" customHeight="false" outlineLevel="0" collapsed="false">
      <c r="AA173" s="68"/>
      <c r="AB173" s="69" t="str">
        <f aca="false">IF(AA173="","",COUNTIF($AA$161:AA173,"?*"))</f>
        <v/>
      </c>
    </row>
    <row r="174" customFormat="false" ht="15" hidden="false" customHeight="false" outlineLevel="0" collapsed="false">
      <c r="AA174" s="68"/>
      <c r="AB174" s="69" t="str">
        <f aca="false">IF(AA174="","",COUNTIF($AA$161:AA174,"?*"))</f>
        <v/>
      </c>
    </row>
    <row r="175" customFormat="false" ht="15" hidden="false" customHeight="false" outlineLevel="0" collapsed="false">
      <c r="AA175" s="68"/>
      <c r="AB175" s="69" t="str">
        <f aca="false">IF(AA175="","",COUNTIF($AA$161:AA175,"?*"))</f>
        <v/>
      </c>
    </row>
    <row r="176" customFormat="false" ht="15" hidden="false" customHeight="false" outlineLevel="0" collapsed="false">
      <c r="AA176" s="68"/>
      <c r="AB176" s="69" t="str">
        <f aca="false">IF(AA176="","",COUNTIF($AA$161:AA176,"?*"))</f>
        <v/>
      </c>
    </row>
    <row r="177" customFormat="false" ht="15" hidden="false" customHeight="false" outlineLevel="0" collapsed="false">
      <c r="AA177" s="68" t="str">
        <f aca="false">IF(COUNTIF(Budget!$X$7:$X$42,"&lt;0")&gt;0,COUNTIF(Budget!$X$7:$X$42,"&lt;0")&amp;IF(COUNTIF(Budget!$X$7:$X$42,"&lt;0")=1," item costs more than you planned"," items cost more than you planned")&amp;"  ›  Budget","")</f>
        <v/>
      </c>
      <c r="AB177" s="69" t="str">
        <f aca="false">IF(AA177="","",COUNTIF($AA$161:AA177,"?*"))</f>
        <v/>
      </c>
    </row>
    <row r="178" customFormat="false" ht="15" hidden="false" customHeight="false" outlineLevel="0" collapsed="false">
      <c r="AA178" s="68"/>
      <c r="AB178" s="69" t="str">
        <f aca="false">IF(AA178="","",COUNTIF($AA$161:AA178,"?*"))</f>
        <v/>
      </c>
    </row>
    <row r="179" customFormat="false" ht="15" hidden="false" customHeight="false" outlineLevel="0" collapsed="false">
      <c r="AA179" s="68"/>
      <c r="AB179" s="69" t="str">
        <f aca="false">IF(AA179="","",COUNTIF($AA$161:AA179,"?*"))</f>
        <v/>
      </c>
    </row>
    <row r="180" customFormat="false" ht="15" hidden="false" customHeight="false" outlineLevel="0" collapsed="false">
      <c r="AA180" s="68" t="str">
        <f aca="true">IF(AND(Dashboard!$AC$8&lt;&gt;"",IF(Dashboard!$AC$8="",9999,Dashboard!$AC$8-TODAY())&lt;=60,IF(Dashboard!$AC$8="",9999,Dashboard!$AC$8-TODAY())&gt;=0,(SUM(Guests!$AI$7:$AI$506)-SUMIFS(Guests!$AI$7:$AI$506,Guests!$U$7:$U$506,"Attending")-SUMIFS(Guests!$AI$7:$AI$506,Guests!$U$7:$U$506,"Declined"))&gt;0),(SUM(Guests!$AI$7:$AI$506)-SUMIFS(Guests!$AI$7:$AI$506,Guests!$U$7:$U$506,"Attending")-SUMIFS(Guests!$AI$7:$AI$506,Guests!$U$7:$U$506,"Declined"))&amp;IF((SUM(Guests!$AI$7:$AI$506)-SUMIFS(Guests!$AI$7:$AI$506,Guests!$U$7:$U$506,"Attending")-SUMIFS(Guests!$AI$7:$AI$506,Guests!$U$7:$U$506,"Declined"))=1," guest has"," guests have")&amp;"'"&amp;IF((SUM(Guests!$AI$7:$AI$506)-SUMIFS(Guests!$AI$7:$AI$506,Guests!$U$7:$U$506,"Attending")-SUMIFS(Guests!$AI$7:$AI$506,Guests!$U$7:$U$506,"Declined"))&gt;1,"","a")&amp;" not replied yet  ›  Guests","")</f>
        <v/>
      </c>
      <c r="AB180" s="69" t="str">
        <f aca="false">IF(AA180="","",COUNTIF($AA$161:AA180,"?*"))</f>
        <v/>
      </c>
    </row>
    <row r="181" customFormat="false" ht="15" hidden="false" customHeight="false" outlineLevel="0" collapsed="false">
      <c r="AA181" s="68" t="str">
        <f aca="true">IF(AND(Dashboard!$AC$8&lt;&gt;"",IF(Dashboard!$AC$8="",9999,Dashboard!$AC$8-TODAY())&lt;=120,IF(Dashboard!$AC$8="",9999,Dashboard!$AC$8-TODAY())&gt;=0,(SUM(Guests!$AN$7:$AN$506)-SUM(Guests!$AO$7:$AO$506))&gt;0),(SUM(Guests!$AN$7:$AN$506)-SUM(Guests!$AO$7:$AO$506))&amp;IF((SUM(Guests!$AN$7:$AN$506)-SUM(Guests!$AO$7:$AO$506))=1," invitation still to send"," invitations still to send")&amp;"  ›  Guests","")</f>
        <v/>
      </c>
      <c r="AB181" s="69" t="str">
        <f aca="false">IF(AA181="","",COUNTIF($AA$161:AA181,"?*"))</f>
        <v/>
      </c>
    </row>
    <row r="182" customFormat="false" ht="15" hidden="false" customHeight="false" outlineLevel="0" collapsed="false">
      <c r="AA182" s="68"/>
      <c r="AB182" s="69" t="str">
        <f aca="false">IF(AA182="","",COUNTIF($AA$161:AA182,"?*"))</f>
        <v/>
      </c>
    </row>
    <row r="183" customFormat="false" ht="15" hidden="false" customHeight="false" outlineLevel="0" collapsed="false">
      <c r="AA183" s="68"/>
      <c r="AB183" s="69" t="str">
        <f aca="false">IF(AA183="","",COUNTIF($AA$161:AA183,"?*"))</f>
        <v/>
      </c>
    </row>
    <row r="184" customFormat="false" ht="15" hidden="false" customHeight="false" outlineLevel="0" collapsed="false">
      <c r="AA184" s="68"/>
      <c r="AB184" s="69" t="str">
        <f aca="false">IF(AA184="","",COUNTIF($AA$161:AA184,"?*"))</f>
        <v/>
      </c>
    </row>
    <row r="185" customFormat="false" ht="15" hidden="false" customHeight="false" outlineLevel="0" collapsed="false">
      <c r="AA185" s="68"/>
      <c r="AB185" s="69" t="str">
        <f aca="false">IF(AA185="","",COUNTIF($AA$161:AA185,"?*"))</f>
        <v/>
      </c>
    </row>
    <row r="186" customFormat="false" ht="15" hidden="false" customHeight="false" outlineLevel="0" collapsed="false">
      <c r="AA186" s="68"/>
      <c r="AB186" s="69" t="str">
        <f aca="false">IF(AA186="","",COUNTIF($AA$161:AA186,"?*"))</f>
        <v/>
      </c>
    </row>
    <row r="187" customFormat="false" ht="15" hidden="false" customHeight="false" outlineLevel="0" collapsed="false">
      <c r="AA187" s="68"/>
      <c r="AB187" s="69" t="str">
        <f aca="false">IF(AA187="","",COUNTIF($AA$161:AA187,"?*"))</f>
        <v/>
      </c>
    </row>
    <row r="188" customFormat="false" ht="15" hidden="false" customHeight="false" outlineLevel="0" collapsed="false">
      <c r="AA188" s="68"/>
      <c r="AB188" s="69" t="str">
        <f aca="false">IF(AA188="","",COUNTIF($AA$161:AA188,"?*"))</f>
        <v/>
      </c>
    </row>
    <row r="231" customFormat="false" ht="15" hidden="false" customHeight="false" outlineLevel="0" collapsed="false">
      <c r="AA231" s="68"/>
      <c r="AB231" s="69"/>
    </row>
    <row r="232" customFormat="false" ht="15" hidden="false" customHeight="false" outlineLevel="0" collapsed="false">
      <c r="AA232" s="68"/>
      <c r="AB232" s="69"/>
    </row>
    <row r="233" customFormat="false" ht="15" hidden="false" customHeight="false" outlineLevel="0" collapsed="false">
      <c r="AA233" s="68"/>
      <c r="AB233" s="69"/>
    </row>
    <row r="234" customFormat="false" ht="15" hidden="false" customHeight="false" outlineLevel="0" collapsed="false">
      <c r="AA234" s="68"/>
      <c r="AB234" s="69"/>
    </row>
    <row r="235" customFormat="false" ht="15" hidden="false" customHeight="false" outlineLevel="0" collapsed="false">
      <c r="AA235" s="68"/>
      <c r="AB235" s="69"/>
    </row>
    <row r="236" customFormat="false" ht="15" hidden="false" customHeight="false" outlineLevel="0" collapsed="false">
      <c r="AA236" s="68"/>
      <c r="AB236" s="69"/>
    </row>
    <row r="237" customFormat="false" ht="15" hidden="false" customHeight="false" outlineLevel="0" collapsed="false">
      <c r="AA237" s="68"/>
      <c r="AB237" s="69"/>
    </row>
    <row r="238" customFormat="false" ht="15" hidden="false" customHeight="false" outlineLevel="0" collapsed="false">
      <c r="AA238" s="68"/>
      <c r="AB238" s="69"/>
    </row>
    <row r="239" customFormat="false" ht="15" hidden="false" customHeight="false" outlineLevel="0" collapsed="false">
      <c r="AA239" s="68"/>
      <c r="AB239" s="69"/>
    </row>
  </sheetData>
  <sheetProtection sheet="true" password="f717" objects="true" scenarios="true" formatCells="false" formatColumns="false" formatRows="false" insertHyperlinks="false"/>
  <mergeCells count="245">
    <mergeCell ref="B1:B3"/>
    <mergeCell ref="D1:G1"/>
    <mergeCell ref="I1:K1"/>
    <mergeCell ref="M1:P1"/>
    <mergeCell ref="R1:T1"/>
    <mergeCell ref="V1:W1"/>
    <mergeCell ref="X1:AI3"/>
    <mergeCell ref="E2:G2"/>
    <mergeCell ref="I2:J2"/>
    <mergeCell ref="M2:N2"/>
    <mergeCell ref="O2:P2"/>
    <mergeCell ref="S2:T2"/>
    <mergeCell ref="V2:W2"/>
    <mergeCell ref="E3:G3"/>
    <mergeCell ref="I3:J3"/>
    <mergeCell ref="M3:N3"/>
    <mergeCell ref="O3:P3"/>
    <mergeCell ref="S3:T3"/>
    <mergeCell ref="V3:W3"/>
    <mergeCell ref="B4:X4"/>
    <mergeCell ref="AD4:AH4"/>
    <mergeCell ref="B5:X5"/>
    <mergeCell ref="AD5:AH5"/>
    <mergeCell ref="D6:K6"/>
    <mergeCell ref="N6:X6"/>
    <mergeCell ref="AD6:AH6"/>
    <mergeCell ref="D7:K7"/>
    <mergeCell ref="N7:X7"/>
    <mergeCell ref="AD7:AH7"/>
    <mergeCell ref="D8:E8"/>
    <mergeCell ref="F8:I8"/>
    <mergeCell ref="J8:K8"/>
    <mergeCell ref="N8:X8"/>
    <mergeCell ref="AD8:AH8"/>
    <mergeCell ref="D9:K9"/>
    <mergeCell ref="N9:X9"/>
    <mergeCell ref="AD9:AH9"/>
    <mergeCell ref="D10:K10"/>
    <mergeCell ref="N10:X10"/>
    <mergeCell ref="AD10:AH10"/>
    <mergeCell ref="B11:I11"/>
    <mergeCell ref="N11:AH11"/>
    <mergeCell ref="B12:E12"/>
    <mergeCell ref="G12:K12"/>
    <mergeCell ref="N12:R12"/>
    <mergeCell ref="T12:X12"/>
    <mergeCell ref="AD12:AE12"/>
    <mergeCell ref="AG12:AH12"/>
    <mergeCell ref="B13:E14"/>
    <mergeCell ref="G13:K14"/>
    <mergeCell ref="N13:R14"/>
    <mergeCell ref="T13:X14"/>
    <mergeCell ref="AD13:AE14"/>
    <mergeCell ref="AG13:AH14"/>
    <mergeCell ref="B15:E15"/>
    <mergeCell ref="G15:K15"/>
    <mergeCell ref="N15:R15"/>
    <mergeCell ref="T15:X15"/>
    <mergeCell ref="AD15:AE15"/>
    <mergeCell ref="AG15:AH15"/>
    <mergeCell ref="B16:E16"/>
    <mergeCell ref="G16:K16"/>
    <mergeCell ref="N16:R16"/>
    <mergeCell ref="T16:X16"/>
    <mergeCell ref="AD16:AE16"/>
    <mergeCell ref="AG16:AH16"/>
    <mergeCell ref="B18:I18"/>
    <mergeCell ref="J18:K18"/>
    <mergeCell ref="N18:V18"/>
    <mergeCell ref="W18:X18"/>
    <mergeCell ref="AD18:AG18"/>
    <mergeCell ref="B19:I19"/>
    <mergeCell ref="J19:K19"/>
    <mergeCell ref="N19:O19"/>
    <mergeCell ref="P19:V19"/>
    <mergeCell ref="W19:X19"/>
    <mergeCell ref="AE19:AG19"/>
    <mergeCell ref="B20:I20"/>
    <mergeCell ref="J20:K20"/>
    <mergeCell ref="N20:O20"/>
    <mergeCell ref="P20:V20"/>
    <mergeCell ref="W20:X20"/>
    <mergeCell ref="AE20:AG20"/>
    <mergeCell ref="B21:I21"/>
    <mergeCell ref="J21:K21"/>
    <mergeCell ref="N21:O21"/>
    <mergeCell ref="P21:V21"/>
    <mergeCell ref="W21:X21"/>
    <mergeCell ref="AE21:AG21"/>
    <mergeCell ref="B22:I22"/>
    <mergeCell ref="J22:K22"/>
    <mergeCell ref="N22:O22"/>
    <mergeCell ref="P22:V22"/>
    <mergeCell ref="W22:X22"/>
    <mergeCell ref="AE22:AG22"/>
    <mergeCell ref="B23:I23"/>
    <mergeCell ref="J23:K23"/>
    <mergeCell ref="N23:O23"/>
    <mergeCell ref="P23:V23"/>
    <mergeCell ref="W23:X23"/>
    <mergeCell ref="AE23:AG23"/>
    <mergeCell ref="B25:I25"/>
    <mergeCell ref="J25:K25"/>
    <mergeCell ref="N25:V25"/>
    <mergeCell ref="W25:X25"/>
    <mergeCell ref="AD25:AG25"/>
    <mergeCell ref="B26:I26"/>
    <mergeCell ref="J26:K26"/>
    <mergeCell ref="N26:V26"/>
    <mergeCell ref="W26:X26"/>
    <mergeCell ref="AD26:AG26"/>
    <mergeCell ref="B27:I27"/>
    <mergeCell ref="J27:K27"/>
    <mergeCell ref="N27:V27"/>
    <mergeCell ref="W27:X27"/>
    <mergeCell ref="AD27:AG27"/>
    <mergeCell ref="B28:I28"/>
    <mergeCell ref="J28:K28"/>
    <mergeCell ref="N28:V28"/>
    <mergeCell ref="W28:X28"/>
    <mergeCell ref="AD28:AG28"/>
    <mergeCell ref="B29:I29"/>
    <mergeCell ref="J29:K29"/>
    <mergeCell ref="N29:V29"/>
    <mergeCell ref="W29:X29"/>
    <mergeCell ref="AD29:AG29"/>
    <mergeCell ref="B30:I30"/>
    <mergeCell ref="J30:K30"/>
    <mergeCell ref="N30:V30"/>
    <mergeCell ref="W30:X30"/>
    <mergeCell ref="B31:I31"/>
    <mergeCell ref="J31:K31"/>
    <mergeCell ref="N31:V31"/>
    <mergeCell ref="W31:X31"/>
    <mergeCell ref="AD31:AG31"/>
    <mergeCell ref="B32:I32"/>
    <mergeCell ref="J32:K32"/>
    <mergeCell ref="N32:V32"/>
    <mergeCell ref="W32:X32"/>
    <mergeCell ref="AD32:AG32"/>
    <mergeCell ref="B33:I33"/>
    <mergeCell ref="J33:K33"/>
    <mergeCell ref="N33:V33"/>
    <mergeCell ref="W33:X33"/>
    <mergeCell ref="AD33:AG33"/>
    <mergeCell ref="B34:I34"/>
    <mergeCell ref="J34:K34"/>
    <mergeCell ref="N34:V34"/>
    <mergeCell ref="W34:X34"/>
    <mergeCell ref="AD34:AG34"/>
    <mergeCell ref="N35:V35"/>
    <mergeCell ref="W35:X35"/>
    <mergeCell ref="AD35:AG35"/>
    <mergeCell ref="B36:I36"/>
    <mergeCell ref="J36:K36"/>
    <mergeCell ref="N36:V36"/>
    <mergeCell ref="W36:X36"/>
    <mergeCell ref="B37:I37"/>
    <mergeCell ref="J37:K37"/>
    <mergeCell ref="AD37:AG37"/>
    <mergeCell ref="B38:I38"/>
    <mergeCell ref="J38:K38"/>
    <mergeCell ref="AD38:AG38"/>
    <mergeCell ref="B39:I39"/>
    <mergeCell ref="J39:K39"/>
    <mergeCell ref="AD39:AG39"/>
    <mergeCell ref="B40:I40"/>
    <mergeCell ref="J40:K40"/>
    <mergeCell ref="AD40:AG40"/>
    <mergeCell ref="AD41:AG41"/>
    <mergeCell ref="AD42:AG42"/>
    <mergeCell ref="B44:I44"/>
    <mergeCell ref="J44:K44"/>
    <mergeCell ref="N44:V44"/>
    <mergeCell ref="W44:X44"/>
    <mergeCell ref="AD44:AG44"/>
    <mergeCell ref="AD45:AG45"/>
    <mergeCell ref="AD46:AG46"/>
    <mergeCell ref="AD47:AG47"/>
    <mergeCell ref="AD48:AG48"/>
    <mergeCell ref="B62:AH62"/>
    <mergeCell ref="B63:C63"/>
    <mergeCell ref="D63:AH63"/>
    <mergeCell ref="B64:C64"/>
    <mergeCell ref="D64:AH64"/>
    <mergeCell ref="B65:C65"/>
    <mergeCell ref="D65:AH65"/>
    <mergeCell ref="B66:C66"/>
    <mergeCell ref="D66:AH66"/>
    <mergeCell ref="B68:C68"/>
    <mergeCell ref="D68:AH68"/>
    <mergeCell ref="B69:C69"/>
    <mergeCell ref="D69:AH69"/>
    <mergeCell ref="B70:C70"/>
    <mergeCell ref="D70:AH70"/>
    <mergeCell ref="B71:C71"/>
    <mergeCell ref="D71:AH71"/>
    <mergeCell ref="B72:C72"/>
    <mergeCell ref="D72:AH72"/>
    <mergeCell ref="B73:C73"/>
    <mergeCell ref="D73:AH73"/>
    <mergeCell ref="B74:C74"/>
    <mergeCell ref="D74:AH74"/>
    <mergeCell ref="B75:C75"/>
    <mergeCell ref="D75:AH75"/>
    <mergeCell ref="B76:C76"/>
    <mergeCell ref="D76:AH76"/>
    <mergeCell ref="B78:AH78"/>
    <mergeCell ref="B79:C79"/>
    <mergeCell ref="D79:AH79"/>
    <mergeCell ref="B80:C80"/>
    <mergeCell ref="D80:AH80"/>
    <mergeCell ref="B81:C81"/>
    <mergeCell ref="D81:AH81"/>
    <mergeCell ref="B82:C82"/>
    <mergeCell ref="D82:AH82"/>
    <mergeCell ref="B83:C83"/>
    <mergeCell ref="D83:AH83"/>
    <mergeCell ref="B84:C84"/>
    <mergeCell ref="D84:AH84"/>
    <mergeCell ref="B85:C85"/>
    <mergeCell ref="D85:AH85"/>
    <mergeCell ref="B86:C86"/>
    <mergeCell ref="D86:AH86"/>
    <mergeCell ref="B87:C87"/>
    <mergeCell ref="D87:AH87"/>
    <mergeCell ref="B88:C88"/>
    <mergeCell ref="D88:AH88"/>
    <mergeCell ref="B89:C89"/>
    <mergeCell ref="D89:AH89"/>
    <mergeCell ref="B90:C90"/>
    <mergeCell ref="D90:AH90"/>
    <mergeCell ref="B91:C91"/>
    <mergeCell ref="D91:AH91"/>
    <mergeCell ref="B92:C92"/>
    <mergeCell ref="D92:AH92"/>
    <mergeCell ref="B93:C93"/>
    <mergeCell ref="D93:AH93"/>
    <mergeCell ref="B94:C94"/>
    <mergeCell ref="D94:AH94"/>
    <mergeCell ref="B95:C95"/>
    <mergeCell ref="D95:AH95"/>
    <mergeCell ref="B97:AH97"/>
    <mergeCell ref="B100:AH100"/>
    <mergeCell ref="B101:AH101"/>
  </mergeCells>
  <conditionalFormatting sqref="N7:X7">
    <cfRule type="expression" priority="2" aboveAverage="0" equalAverage="0" bottom="0" percent="0" rank="0" text="" dxfId="0">
      <formula>LEFT($N7,1)="✓"</formula>
    </cfRule>
    <cfRule type="expression" priority="3" aboveAverage="0" equalAverage="0" bottom="0" percent="0" rank="0" text="" dxfId="1">
      <formula>ISNUMBER(SEARCH("Overdue",$N7))</formula>
    </cfRule>
    <cfRule type="expression" priority="4" aboveAverage="0" equalAverage="0" bottom="0" percent="0" rank="0" text="" dxfId="2">
      <formula>OR(LEFT($N7,4)="Noth",LEFT($N7,5)="The r")</formula>
    </cfRule>
  </conditionalFormatting>
  <conditionalFormatting sqref="N8:X8">
    <cfRule type="expression" priority="5" aboveAverage="0" equalAverage="0" bottom="0" percent="0" rank="0" text="" dxfId="0">
      <formula>LEFT($N8,1)="✓"</formula>
    </cfRule>
    <cfRule type="expression" priority="6" aboveAverage="0" equalAverage="0" bottom="0" percent="0" rank="0" text="" dxfId="1">
      <formula>ISNUMBER(SEARCH("Overdue",$N8))</formula>
    </cfRule>
    <cfRule type="expression" priority="7" aboveAverage="0" equalAverage="0" bottom="0" percent="0" rank="0" text="" dxfId="2">
      <formula>OR(LEFT($N8,4)="Noth",LEFT($N8,5)="The r")</formula>
    </cfRule>
    <cfRule type="expression" priority="8" aboveAverage="0" equalAverage="0" bottom="0" percent="0" rank="0" text="" dxfId="1">
      <formula>AND(OR($D$8&lt;&gt;"",$F$8&lt;&gt;"",$J$8&lt;&gt;""),$AC$8="")</formula>
    </cfRule>
  </conditionalFormatting>
  <conditionalFormatting sqref="N9:X9">
    <cfRule type="expression" priority="9" aboveAverage="0" equalAverage="0" bottom="0" percent="0" rank="0" text="" dxfId="0">
      <formula>LEFT($N9,1)="✓"</formula>
    </cfRule>
    <cfRule type="expression" priority="10" aboveAverage="0" equalAverage="0" bottom="0" percent="0" rank="0" text="" dxfId="1">
      <formula>ISNUMBER(SEARCH("Overdue",$N9))</formula>
    </cfRule>
    <cfRule type="expression" priority="11" aboveAverage="0" equalAverage="0" bottom="0" percent="0" rank="0" text="" dxfId="2">
      <formula>OR(LEFT($N9,4)="Noth",LEFT($N9,5)="The r")</formula>
    </cfRule>
  </conditionalFormatting>
  <conditionalFormatting sqref="N10:X10">
    <cfRule type="expression" priority="12" aboveAverage="0" equalAverage="0" bottom="0" percent="0" rank="0" text="" dxfId="0">
      <formula>LEFT($N10,1)="✓"</formula>
    </cfRule>
    <cfRule type="expression" priority="13" aboveAverage="0" equalAverage="0" bottom="0" percent="0" rank="0" text="" dxfId="1">
      <formula>ISNUMBER(SEARCH("Overdue",$N10))</formula>
    </cfRule>
    <cfRule type="expression" priority="14" aboveAverage="0" equalAverage="0" bottom="0" percent="0" rank="0" text="" dxfId="2">
      <formula>OR(LEFT($N10,4)="Noth",LEFT($N10,5)="The r")</formula>
    </cfRule>
  </conditionalFormatting>
  <conditionalFormatting sqref="AD7:AH7">
    <cfRule type="expression" priority="15" aboveAverage="0" equalAverage="0" bottom="0" percent="0" rank="0" text="" dxfId="0">
      <formula>LEFT($AD7,4)="Noth"</formula>
    </cfRule>
    <cfRule type="expression" priority="16" aboveAverage="0" equalAverage="0" bottom="0" percent="0" rank="0" text="" dxfId="3">
      <formula>LEFT($AD7,1)="•"</formula>
    </cfRule>
  </conditionalFormatting>
  <conditionalFormatting sqref="AD8:AH8">
    <cfRule type="expression" priority="17" aboveAverage="0" equalAverage="0" bottom="0" percent="0" rank="0" text="" dxfId="0">
      <formula>LEFT($AD8,4)="Noth"</formula>
    </cfRule>
    <cfRule type="expression" priority="18" aboveAverage="0" equalAverage="0" bottom="0" percent="0" rank="0" text="" dxfId="3">
      <formula>LEFT($AD8,1)="•"</formula>
    </cfRule>
  </conditionalFormatting>
  <conditionalFormatting sqref="AD9:AH9">
    <cfRule type="expression" priority="19" aboveAverage="0" equalAverage="0" bottom="0" percent="0" rank="0" text="" dxfId="0">
      <formula>LEFT($AD9,4)="Noth"</formula>
    </cfRule>
    <cfRule type="expression" priority="20" aboveAverage="0" equalAverage="0" bottom="0" percent="0" rank="0" text="" dxfId="3">
      <formula>LEFT($AD9,1)="•"</formula>
    </cfRule>
  </conditionalFormatting>
  <conditionalFormatting sqref="AD10:AH10">
    <cfRule type="expression" priority="21" aboveAverage="0" equalAverage="0" bottom="0" percent="0" rank="0" text="" dxfId="0">
      <formula>LEFT($AD10,4)="Noth"</formula>
    </cfRule>
    <cfRule type="expression" priority="22" aboveAverage="0" equalAverage="0" bottom="0" percent="0" rank="0" text="" dxfId="3">
      <formula>LEFT($AD10,1)="•"</formula>
    </cfRule>
  </conditionalFormatting>
  <conditionalFormatting sqref="J19">
    <cfRule type="expression" priority="23" aboveAverage="0" equalAverage="0" bottom="0" percent="0" rank="0" text="" dxfId="1">
      <formula>AND(J19&lt;&gt;"",J19&lt;TODAY())</formula>
    </cfRule>
    <cfRule type="expression" priority="24" aboveAverage="0" equalAverage="0" bottom="0" percent="0" rank="0" text="" dxfId="4">
      <formula>AND(J19&lt;&gt;"",J19-TODAY()&lt;=30)</formula>
    </cfRule>
  </conditionalFormatting>
  <conditionalFormatting sqref="J20">
    <cfRule type="expression" priority="25" aboveAverage="0" equalAverage="0" bottom="0" percent="0" rank="0" text="" dxfId="1">
      <formula>AND(J20&lt;&gt;"",J20&lt;TODAY())</formula>
    </cfRule>
    <cfRule type="expression" priority="26" aboveAverage="0" equalAverage="0" bottom="0" percent="0" rank="0" text="" dxfId="4">
      <formula>AND(J20&lt;&gt;"",J20-TODAY()&lt;=30)</formula>
    </cfRule>
  </conditionalFormatting>
  <conditionalFormatting sqref="J21">
    <cfRule type="expression" priority="27" aboveAverage="0" equalAverage="0" bottom="0" percent="0" rank="0" text="" dxfId="1">
      <formula>AND(J21&lt;&gt;"",J21&lt;TODAY())</formula>
    </cfRule>
    <cfRule type="expression" priority="28" aboveAverage="0" equalAverage="0" bottom="0" percent="0" rank="0" text="" dxfId="4">
      <formula>AND(J21&lt;&gt;"",J21-TODAY()&lt;=30)</formula>
    </cfRule>
  </conditionalFormatting>
  <conditionalFormatting sqref="J22">
    <cfRule type="expression" priority="29" aboveAverage="0" equalAverage="0" bottom="0" percent="0" rank="0" text="" dxfId="1">
      <formula>AND(J22&lt;&gt;"",J22&lt;TODAY())</formula>
    </cfRule>
    <cfRule type="expression" priority="30" aboveAverage="0" equalAverage="0" bottom="0" percent="0" rank="0" text="" dxfId="4">
      <formula>AND(J22&lt;&gt;"",J22-TODAY()&lt;=30)</formula>
    </cfRule>
  </conditionalFormatting>
  <conditionalFormatting sqref="J23">
    <cfRule type="expression" priority="31" aboveAverage="0" equalAverage="0" bottom="0" percent="0" rank="0" text="" dxfId="1">
      <formula>AND(J23&lt;&gt;"",J23&lt;TODAY())</formula>
    </cfRule>
    <cfRule type="expression" priority="32" aboveAverage="0" equalAverage="0" bottom="0" percent="0" rank="0" text="" dxfId="4">
      <formula>AND(J23&lt;&gt;"",J23-TODAY()&lt;=30)</formula>
    </cfRule>
  </conditionalFormatting>
  <conditionalFormatting sqref="N19">
    <cfRule type="expression" priority="33" aboveAverage="0" equalAverage="0" bottom="0" percent="0" rank="0" text="" dxfId="5">
      <formula>AND(N19&lt;&gt;"",N19&lt;TODAY())</formula>
    </cfRule>
  </conditionalFormatting>
  <conditionalFormatting sqref="N20">
    <cfRule type="expression" priority="34" aboveAverage="0" equalAverage="0" bottom="0" percent="0" rank="0" text="" dxfId="5">
      <formula>AND(N20&lt;&gt;"",N20&lt;TODAY())</formula>
    </cfRule>
  </conditionalFormatting>
  <conditionalFormatting sqref="N21">
    <cfRule type="expression" priority="35" aboveAverage="0" equalAverage="0" bottom="0" percent="0" rank="0" text="" dxfId="5">
      <formula>AND(N21&lt;&gt;"",N21&lt;TODAY())</formula>
    </cfRule>
  </conditionalFormatting>
  <conditionalFormatting sqref="N22">
    <cfRule type="expression" priority="36" aboveAverage="0" equalAverage="0" bottom="0" percent="0" rank="0" text="" dxfId="5">
      <formula>AND(N22&lt;&gt;"",N22&lt;TODAY())</formula>
    </cfRule>
  </conditionalFormatting>
  <conditionalFormatting sqref="N23">
    <cfRule type="expression" priority="37" aboveAverage="0" equalAverage="0" bottom="0" percent="0" rank="0" text="" dxfId="5">
      <formula>AND(N23&lt;&gt;"",N23&lt;TODAY())</formula>
    </cfRule>
  </conditionalFormatting>
  <conditionalFormatting sqref="AD19">
    <cfRule type="expression" priority="38" aboveAverage="0" equalAverage="0" bottom="0" percent="0" rank="0" text="" dxfId="4">
      <formula>AND(AD19&lt;&gt;"",AD19-TODAY()&lt;=7)</formula>
    </cfRule>
  </conditionalFormatting>
  <conditionalFormatting sqref="AD20">
    <cfRule type="expression" priority="39" aboveAverage="0" equalAverage="0" bottom="0" percent="0" rank="0" text="" dxfId="4">
      <formula>AND(AD20&lt;&gt;"",AD20-TODAY()&lt;=7)</formula>
    </cfRule>
  </conditionalFormatting>
  <conditionalFormatting sqref="AD21">
    <cfRule type="expression" priority="40" aboveAverage="0" equalAverage="0" bottom="0" percent="0" rank="0" text="" dxfId="4">
      <formula>AND(AD21&lt;&gt;"",AD21-TODAY()&lt;=7)</formula>
    </cfRule>
  </conditionalFormatting>
  <conditionalFormatting sqref="AD22">
    <cfRule type="expression" priority="41" aboveAverage="0" equalAverage="0" bottom="0" percent="0" rank="0" text="" dxfId="4">
      <formula>AND(AD22&lt;&gt;"",AD22-TODAY()&lt;=7)</formula>
    </cfRule>
  </conditionalFormatting>
  <conditionalFormatting sqref="AD23">
    <cfRule type="expression" priority="42" aboveAverage="0" equalAverage="0" bottom="0" percent="0" rank="0" text="" dxfId="4">
      <formula>AND(AD23&lt;&gt;"",AD23-TODAY()&lt;=7)</formula>
    </cfRule>
  </conditionalFormatting>
  <conditionalFormatting sqref="J34">
    <cfRule type="expression" priority="43" aboveAverage="0" equalAverage="0" bottom="0" percent="0" rank="0" text="" dxfId="5">
      <formula>LEFT($B34,5)="Still"</formula>
    </cfRule>
    <cfRule type="expression" priority="44" aboveAverage="0" equalAverage="0" bottom="0" percent="0" rank="0" text="" dxfId="2">
      <formula>LEFT($B34,5)="Fundi"</formula>
    </cfRule>
  </conditionalFormatting>
  <conditionalFormatting sqref="J31">
    <cfRule type="cellIs" priority="45" operator="lessThan" aboveAverage="0" equalAverage="0" bottom="0" percent="0" rank="0" text="" dxfId="5">
      <formula>0</formula>
    </cfRule>
    <cfRule type="cellIs" priority="46" operator="greaterThan" aboveAverage="0" equalAverage="0" bottom="0" percent="0" rank="0" text="" dxfId="2">
      <formula>0</formula>
    </cfRule>
  </conditionalFormatting>
  <dataValidations count="44">
    <dataValidation allowBlank="true" error="Choose a value from the list." errorStyle="stop" errorTitle="Day" operator="between" prompt="Tap the cell and choose the day." promptTitle="Day" showDropDown="false" showErrorMessage="true" showInputMessage="true" sqref="D8" type="list">
      <formula1>Lists!$X$1:$X$31</formula1>
      <formula2>0</formula2>
    </dataValidation>
    <dataValidation allowBlank="true" error="Choose a value from the list." errorStyle="stop" errorTitle="Month" operator="between" prompt="Tap the cell and choose the month." promptTitle="Month" showDropDown="false" showErrorMessage="true" showInputMessage="true" sqref="F8" type="list">
      <formula1>Lists!$Y$1:$Y$12</formula1>
      <formula2>0</formula2>
    </dataValidation>
    <dataValidation allowBlank="true" error="Choose a value from the list." errorStyle="stop" errorTitle="Year" operator="between" prompt="Tap the cell and choose the year." promptTitle="Year" showDropDown="false" showErrorMessage="true" showInputMessage="true" sqref="J8" type="list">
      <formula1>Lists!$Z$1:$Z$11</formula1>
      <formula2>0</formula2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4:B5" type="custom">
      <formula1>ISFORMULA(B4)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13" type="custom">
      <formula1>ISFORMULA(B13)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15:B16" type="custom">
      <formula1>ISFORMULA(B15)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19:B23" type="custom">
      <formula1>ISFORMULA(B19)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34" type="custom">
      <formula1>ISFORMULA(B34)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D4:AD5" type="custom">
      <formula1>ISFORMULA(AD4)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D7:AD10" type="custom">
      <formula1>ISFORMULA(AD7)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D13" type="custom">
      <formula1>ISFORMULA(AD13)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D15" type="custom">
      <formula1>ISFORMULA(AD15)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D19:AD23" type="custom">
      <formula1>ISFORMULA(AD19)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N6:N11" type="custom">
      <formula1>ISFORMULA(N6)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N13" type="custom">
      <formula1>ISFORMULA(N13)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N15:N16" type="custom">
      <formula1>ISFORMULA(N15)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N19:N23" type="custom">
      <formula1>ISFORMULA(N19)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C8" type="custom">
      <formula1>ISFORMULA(AC8)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C17" type="custom">
      <formula1>ISFORMULA(AC17)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11" type="custom">
      <formula1>ISFORMULA(J11)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19:J23" type="custom">
      <formula1>ISFORMULA(J19)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26:J34" type="custom">
      <formula1>ISFORMULA(J26)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37:J40" type="custom">
      <formula1>ISFORMULA(J37)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G13" type="custom">
      <formula1>ISFORMULA(G13)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G15:G16" type="custom">
      <formula1>ISFORMULA(G15)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T13" type="custom">
      <formula1>ISFORMULA(T13)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T15:T16" type="custom">
      <formula1>ISFORMULA(T15)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G13" type="custom">
      <formula1>ISFORMULA(AG13)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G15:AG16" type="custom">
      <formula1>ISFORMULA(AG15)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P19:P23" type="custom">
      <formula1>ISFORMULA(P19)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W19:W23" type="custom">
      <formula1>ISFORMULA(W19)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W26:W36" type="custom">
      <formula1>ISFORMULA(W26)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E19:AE23" type="custom">
      <formula1>ISFORMULA(AE19)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H19:AH23" type="custom">
      <formula1>ISFORMULA(AH19)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H26:AH29" type="custom">
      <formula1>ISFORMULA(AH26)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H32:AH35" type="custom">
      <formula1>ISFORMULA(AH32)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H38:AH42" type="custom">
      <formula1>ISFORMULA(AH38)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H45:AH48" type="custom">
      <formula1>ISFORMULA(AH45)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31:AB33" type="custom">
      <formula1>ISFORMULA(AB31)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41:AB43" type="custom">
      <formula1>ISFORMULA(AB41)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161:AB188" type="custom">
      <formula1>ISFORMULA(AB161)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231:AB239" type="custom">
      <formula1>ISFORMULA(AB231)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A161:AA188" type="custom">
      <formula1>ISFORMULA(AA161)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A231:AA239" type="custom">
      <formula1>ISFORMULA(AA231)</formula1>
    </dataValidation>
  </dataValidations>
  <hyperlinks>
    <hyperlink ref="D2" location="'Budget'!A1" display="      Budget      "/>
    <hyperlink ref="I2" location="'Guests'!A1" display="       Guests        "/>
    <hyperlink ref="V2" location="'Dashboard'!A62" display="       ?  Help       "/>
    <hyperlink ref="N10" location="'Guests'!A2" display="#'Guests'.A2"/>
    <hyperlink ref="B25" location="'Budget'!A2" display="Budget"/>
    <hyperlink ref="J25" location="'Budget'!A2" display="            Open  ›            "/>
    <hyperlink ref="N25" location="'Guests'!A2" display="Guests"/>
    <hyperlink ref="W25" location="'Guests'!A2" display="            Open  ›            "/>
    <hyperlink ref="B44" location="'Budget'!A2" display="Where your budget stands"/>
    <hyperlink ref="J44" location="'Budget'!A2" display="            Open  ›            "/>
    <hyperlink ref="N44" location="'Guests'!A2" display="Guest replies"/>
    <hyperlink ref="W44" location="'Guests'!A2" display="            Open  ›            "/>
    <hyperlink ref="B18" r:id="rIdE1"/>
    <hyperlink ref="B19" r:id="rIdE2"/>
    <hyperlink ref="B36" r:id="rIdE3"/>
    <hyperlink ref="B37" r:id="rIdE4"/>
    <hyperlink ref="B80" r:id="rIdE5"/>
    <hyperlink ref="B81" r:id="rIdE6"/>
    <hyperlink ref="B82" r:id="rIdE7"/>
    <hyperlink ref="B84" r:id="rIdE8"/>
    <hyperlink ref="B85" r:id="rIdE9"/>
    <hyperlink ref="B86" r:id="rIdE10"/>
    <hyperlink ref="B87" r:id="rIdE11"/>
    <hyperlink ref="B88" r:id="rIdE12"/>
    <hyperlink ref="B89" r:id="rIdE13"/>
    <hyperlink ref="B90" r:id="rIdE14"/>
    <hyperlink ref="B91" r:id="rIdE15"/>
    <hyperlink ref="B92" r:id="rIdE16"/>
    <hyperlink ref="B93" r:id="rIdE17"/>
    <hyperlink ref="B94" r:id="rIdE18"/>
    <hyperlink ref="B95" r:id="rIdE19"/>
    <hyperlink ref="B97" r:id="rIdE20"/>
    <hyperlink ref="D3" r:id="rIdE21"/>
    <hyperlink ref="E2" r:id="rIdE22"/>
    <hyperlink ref="E3" r:id="rIdE23"/>
    <hyperlink ref="I3" r:id="rIdE24"/>
    <hyperlink ref="J18" r:id="rIdE25"/>
    <hyperlink ref="J36" r:id="rIdE26"/>
    <hyperlink ref="K2" r:id="rIdE27"/>
    <hyperlink ref="K3" r:id="rIdE28"/>
    <hyperlink ref="M2" r:id="rIdE29"/>
    <hyperlink ref="M3" r:id="rIdE30"/>
    <hyperlink ref="N13" r:id="rIdE31"/>
    <hyperlink ref="N18" r:id="rIdE32"/>
    <hyperlink ref="N19" r:id="rIdE33"/>
    <hyperlink ref="O2" r:id="rIdE34"/>
    <hyperlink ref="O3" r:id="rIdE35"/>
    <hyperlink ref="R2" r:id="rIdE36"/>
    <hyperlink ref="R3" r:id="rIdE37"/>
    <hyperlink ref="S2" r:id="rIdE38"/>
    <hyperlink ref="S3" r:id="rIdE39"/>
    <hyperlink ref="T13" r:id="rIdE40"/>
    <hyperlink ref="V3" r:id="rIdE41"/>
    <hyperlink ref="W18" r:id="rIdE42"/>
    <hyperlink ref="AD18" r:id="rIdE43"/>
    <hyperlink ref="AD19" r:id="rIdE44"/>
    <hyperlink ref="AD25" r:id="rIdE45"/>
    <hyperlink ref="AD26" r:id="rIdE46"/>
    <hyperlink ref="AD31" r:id="rIdE47"/>
    <hyperlink ref="AD32" r:id="rIdE48"/>
    <hyperlink ref="AD37" r:id="rIdE49"/>
    <hyperlink ref="AD38" r:id="rIdE50"/>
    <hyperlink ref="AD44" r:id="rIdE51"/>
    <hyperlink ref="AD45" r:id="rIdE52"/>
    <hyperlink ref="AG13" r:id="rIdE53"/>
    <hyperlink ref="AH18" r:id="rIdE54"/>
    <hyperlink ref="AH25" r:id="rIdE55"/>
    <hyperlink ref="AH31" r:id="rIdE56"/>
    <hyperlink ref="AH37" r:id="rIdE57"/>
    <hyperlink ref="AH44" r:id="rIdE58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personal use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91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21.43"/>
    <col collapsed="false" customWidth="true" hidden="false" outlineLevel="0" max="3" min="3" style="0" width="2.29"/>
    <col collapsed="false" customWidth="true" hidden="false" outlineLevel="0" max="4" min="4" style="0" width="6.29"/>
    <col collapsed="false" customWidth="true" hidden="false" outlineLevel="0" max="5" min="5" style="0" width="8.57"/>
    <col collapsed="false" customWidth="true" hidden="false" outlineLevel="0" max="6" min="6" style="0" width="14.86"/>
    <col collapsed="false" customWidth="true" hidden="false" outlineLevel="0" max="7" min="7" style="0" width="1.14"/>
    <col collapsed="false" customWidth="true" hidden="false" outlineLevel="0" max="8" min="8" style="0" width="14.86"/>
    <col collapsed="false" customWidth="true" hidden="false" outlineLevel="0" max="9" min="9" style="0" width="2.43"/>
    <col collapsed="false" customWidth="true" hidden="false" outlineLevel="0" max="10" min="10" style="0" width="12.43"/>
    <col collapsed="false" customWidth="true" hidden="false" outlineLevel="0" max="11" min="11" style="0" width="1.14"/>
    <col collapsed="false" customWidth="true" hidden="false" outlineLevel="0" max="12" min="12" style="0" width="12.86"/>
    <col collapsed="false" customWidth="true" hidden="false" outlineLevel="0" max="13" min="13" style="0" width="10.61"/>
    <col collapsed="false" customWidth="true" hidden="false" outlineLevel="0" max="15" min="15" style="0" width="2.86"/>
    <col collapsed="false" customWidth="true" hidden="false" outlineLevel="0" max="16" min="16" style="0" width="1.14"/>
    <col collapsed="false" customWidth="true" hidden="false" outlineLevel="0" max="17" min="17" style="0" width="8"/>
    <col collapsed="false" customWidth="true" hidden="false" outlineLevel="0" max="18" min="18" style="0" width="6.85"/>
    <col collapsed="false" customWidth="true" hidden="false" outlineLevel="0" max="19" min="19" style="0" width="6.14"/>
    <col collapsed="false" customWidth="true" hidden="false" outlineLevel="0" max="21" min="21" style="0" width="1.14"/>
    <col collapsed="false" customWidth="true" hidden="false" outlineLevel="0" max="22" min="22" style="0" width="3.15"/>
    <col collapsed="false" customWidth="true" hidden="false" outlineLevel="0" max="23" min="23" style="0" width="11.71"/>
    <col collapsed="false" customWidth="true" hidden="false" outlineLevel="0" max="24" min="24" style="0" width="12"/>
    <col collapsed="false" customWidth="true" hidden="false" outlineLevel="0" max="25" min="25" style="0" width="27.86"/>
    <col collapsed="false" customWidth="true" hidden="false" outlineLevel="0" max="26" min="26" style="0" width="3"/>
    <col collapsed="false" customWidth="true" hidden="false" outlineLevel="0" max="27" min="27" style="0" width="39.43"/>
    <col collapsed="false" customWidth="true" hidden="false" outlineLevel="0" max="28" min="28" style="0" width="17"/>
    <col collapsed="false" customWidth="true" hidden="false" outlineLevel="0" max="29" min="29" style="0" width="1.85"/>
    <col collapsed="false" customWidth="true" hidden="false" outlineLevel="0" max="30" min="30" style="0" width="7.29"/>
    <col collapsed="false" customWidth="true" hidden="false" outlineLevel="0" max="38" min="31" style="0" width="9.14"/>
    <col collapsed="false" customWidth="true" hidden="true" outlineLevel="0" max="48" min="39" style="0" width="13"/>
  </cols>
  <sheetData>
    <row r="1" customFormat="false" ht="13.5" hidden="false" customHeight="true" outlineLevel="0" collapsed="false">
      <c r="A1" s="1"/>
      <c r="B1" s="2" t="s">
        <v>0</v>
      </c>
      <c r="C1" s="1"/>
      <c r="D1" s="3" t="s">
        <v>1</v>
      </c>
      <c r="E1" s="3"/>
      <c r="F1" s="3"/>
      <c r="G1" s="1"/>
      <c r="H1" s="4" t="s">
        <v>2</v>
      </c>
      <c r="I1" s="4"/>
      <c r="J1" s="4"/>
      <c r="K1" s="1"/>
      <c r="L1" s="3" t="s">
        <v>3</v>
      </c>
      <c r="M1" s="3"/>
      <c r="N1" s="3"/>
      <c r="O1" s="3"/>
      <c r="P1" s="1"/>
      <c r="Q1" s="4" t="s">
        <v>4</v>
      </c>
      <c r="R1" s="4"/>
      <c r="S1" s="4"/>
      <c r="T1" s="4"/>
      <c r="U1" s="1"/>
      <c r="V1" s="5" t="s">
        <v>5</v>
      </c>
      <c r="W1" s="5"/>
      <c r="X1" s="70" t="str">
        <f aca="true">IF(AND(Dashboard!$D$6&lt;&gt;"",Dashboard!$D$7&lt;&gt;""),Dashboard!$D$6&amp;" &amp; "&amp;Dashboard!$D$7,"Your wedding")&amp;IF(Dashboard!$AC$8="","",IF(Dashboard!$AC$8&gt;TODAY(),"  ·  J-"&amp;(Dashboard!$AC$8-TODAY()),""))</f>
        <v>Your wedding</v>
      </c>
      <c r="Y1" s="70"/>
      <c r="Z1" s="70"/>
      <c r="AA1" s="70"/>
      <c r="AB1" s="70"/>
      <c r="AC1" s="70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customFormat="false" ht="25.5" hidden="false" customHeight="true" outlineLevel="0" collapsed="false">
      <c r="A2" s="1"/>
      <c r="B2" s="2"/>
      <c r="C2" s="1"/>
      <c r="D2" s="71" t="s">
        <v>22</v>
      </c>
      <c r="E2" s="71"/>
      <c r="F2" s="7" t="inlineStr">
        <is>
          <t xml:space="preserve">  🔒 Payments  </t>
        </is>
      </c>
      <c r="G2" s="1"/>
      <c r="H2" s="7" t="s">
        <v>8</v>
      </c>
      <c r="I2" s="7" t="inlineStr">
        <is>
          <t xml:space="preserve">  🔒 Tables  </t>
        </is>
      </c>
      <c r="J2" s="7"/>
      <c r="K2" s="1"/>
      <c r="L2" s="7" t="inlineStr">
        <is>
          <t xml:space="preserve">🔒 Checklist</t>
        </is>
      </c>
      <c r="M2" s="7"/>
      <c r="N2" s="7" t="inlineStr">
        <is>
          <t xml:space="preserve">  🔒 Appointments  </t>
        </is>
      </c>
      <c r="O2" s="7"/>
      <c r="P2" s="1"/>
      <c r="Q2" s="7" t="inlineStr">
        <is>
          <t xml:space="preserve">  🔒 Ceremony  </t>
        </is>
      </c>
      <c r="R2" s="7"/>
      <c r="S2" s="7" t="inlineStr">
        <is>
          <t xml:space="preserve">  🔒 Music  </t>
        </is>
      </c>
      <c r="T2" s="7"/>
      <c r="U2" s="1"/>
      <c r="V2" s="7" t="s">
        <v>9</v>
      </c>
      <c r="W2" s="7"/>
      <c r="X2" s="70"/>
      <c r="Y2" s="70"/>
      <c r="Z2" s="70"/>
      <c r="AA2" s="70"/>
      <c r="AB2" s="70"/>
      <c r="AC2" s="7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customFormat="false" ht="25.5" hidden="false" customHeight="true" outlineLevel="0" collapsed="false">
      <c r="A3" s="1"/>
      <c r="B3" s="2"/>
      <c r="C3" s="1"/>
      <c r="D3" s="8" t="inlineStr">
        <is>
          <t xml:space="preserve">  🔒 Suppliers  </t>
        </is>
      </c>
      <c r="E3" s="8"/>
      <c r="F3" s="8" t="inlineStr">
        <is>
          <t xml:space="preserve">  🔒 Shopping  </t>
        </is>
      </c>
      <c r="G3" s="1"/>
      <c r="H3" s="8" t="inlineStr">
        <is>
          <t xml:space="preserve">  🔒 Seating plan  </t>
        </is>
      </c>
      <c r="I3" s="8" t="inlineStr">
        <is>
          <t xml:space="preserve">  🔒 Catering  </t>
        </is>
      </c>
      <c r="J3" s="8"/>
      <c r="K3" s="1"/>
      <c r="L3" s="8" t="inlineStr">
        <is>
          <t xml:space="preserve">  🔒 Giving notice  </t>
        </is>
      </c>
      <c r="M3" s="8"/>
      <c r="N3" s="8" t="inlineStr">
        <is>
          <t xml:space="preserve">  🔒 Contacts  </t>
        </is>
      </c>
      <c r="O3" s="8"/>
      <c r="P3" s="1"/>
      <c r="Q3" s="8" t="inlineStr">
        <is>
          <t xml:space="preserve">  🔒 On the day  </t>
        </is>
      </c>
      <c r="R3" s="8"/>
      <c r="S3" s="8" t="inlineStr">
        <is>
          <t xml:space="preserve">🔒 Thank yous</t>
        </is>
      </c>
      <c r="T3" s="8"/>
      <c r="U3" s="1"/>
      <c r="V3" s="8" t="inlineStr">
        <is>
          <t xml:space="preserve">  🔒 Notes  </t>
        </is>
      </c>
      <c r="W3" s="8"/>
      <c r="X3" s="70"/>
      <c r="Y3" s="70"/>
      <c r="Z3" s="70"/>
      <c r="AA3" s="70"/>
      <c r="AB3" s="70"/>
      <c r="AC3" s="7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customFormat="false" ht="39.75" hidden="false" customHeight="true" outlineLevel="0" collapsed="false">
      <c r="A4" s="1"/>
      <c r="B4" s="72" t="s">
        <v>22</v>
      </c>
      <c r="C4" s="72"/>
      <c r="D4" s="7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73" t="s">
        <v>93</v>
      </c>
      <c r="Z4" s="73"/>
      <c r="AA4" s="73"/>
      <c r="AB4" s="73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customFormat="false" ht="25.5" hidden="false" customHeight="true" outlineLevel="0" collapsed="false">
      <c r="A5" s="1"/>
      <c r="B5" s="74" t="s">
        <v>94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customFormat="false" ht="30" hidden="false" customHeight="true" outlineLevel="0" collapsed="false">
      <c r="A6" s="1"/>
      <c r="B6" s="75" t="s">
        <v>95</v>
      </c>
      <c r="C6" s="75"/>
      <c r="D6" s="75"/>
      <c r="E6" s="76" t="s">
        <v>96</v>
      </c>
      <c r="F6" s="76"/>
      <c r="G6" s="76"/>
      <c r="H6" s="76"/>
      <c r="I6" s="76"/>
      <c r="J6" s="76" t="s">
        <v>97</v>
      </c>
      <c r="K6" s="75" t="s">
        <v>98</v>
      </c>
      <c r="L6" s="75"/>
      <c r="M6" s="75" t="s">
        <v>99</v>
      </c>
      <c r="N6" s="75" t="s">
        <v>100</v>
      </c>
      <c r="O6" s="76" t="inlineStr">
        <is>
          <t xml:space="preserve">🔒 Shopping</t>
        </is>
      </c>
      <c r="P6" s="76"/>
      <c r="Q6" s="76"/>
      <c r="R6" s="76" t="s">
        <v>101</v>
      </c>
      <c r="S6" s="76"/>
      <c r="T6" s="76" t="inlineStr">
        <is>
          <t xml:space="preserve">🔒 Paid so far</t>
        </is>
      </c>
      <c r="U6" s="76"/>
      <c r="V6" s="76"/>
      <c r="W6" s="76" t="s">
        <v>102</v>
      </c>
      <c r="X6" s="76" t="s">
        <v>103</v>
      </c>
      <c r="Y6" s="75" t="s">
        <v>89</v>
      </c>
      <c r="Z6" s="1"/>
      <c r="AA6" s="77" t="s">
        <v>104</v>
      </c>
      <c r="AB6" s="78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customFormat="false" ht="30" hidden="false" customHeight="true" outlineLevel="0" collapsed="false">
      <c r="A7" s="1"/>
      <c r="B7" s="79" t="s">
        <v>105</v>
      </c>
      <c r="C7" s="79"/>
      <c r="D7" s="79"/>
      <c r="E7" s="80" t="s">
        <v>106</v>
      </c>
      <c r="F7" s="80"/>
      <c r="G7" s="80"/>
      <c r="H7" s="80"/>
      <c r="I7" s="80"/>
      <c r="J7" s="81" t="n">
        <f aca="false">IF(OR(INDEX($B:$B,7)="",AP7="",N(INDEX(Dashboard!$D:$D,9))=0),0,IF(AP7=0,0.05*INDEX(Dashboard!$D:$D,9),IF(AP7=1,$AV$11,$AV$12)*AS7))</f>
        <v>0</v>
      </c>
      <c r="K7" s="82"/>
      <c r="L7" s="82"/>
      <c r="M7" s="82"/>
      <c r="N7" s="83"/>
      <c r="O7" s="84" t="str">
        <f>""</f>
        <v/>
      </c>
      <c r="P7" s="84"/>
      <c r="Q7" s="84"/>
      <c r="R7" s="85" t="str">
        <f aca="false">IF(INDEX($B:$B,7)="","",IF(AND(INDEX($M:$M,7)="",N(O7)=0),"",N(INDEX($M:$M,7))*IF(INDEX($N:$N,7)="+ VAT",1.2,1)+N(O7)))</f>
        <v/>
      </c>
      <c r="S7" s="85"/>
      <c r="T7" s="84" t="str">
        <f>""</f>
        <v/>
      </c>
      <c r="U7" s="84"/>
      <c r="V7" s="84"/>
      <c r="W7" s="85" t="str">
        <f aca="false">IF(R7="","",R7-N(T7))</f>
        <v/>
      </c>
      <c r="X7" s="85" t="str">
        <f aca="false">IF(R7="","",IF(INDEX($K:$K,7)&lt;&gt;"",INDEX($K:$K,7),J7)-R7)</f>
        <v/>
      </c>
      <c r="Y7" s="79"/>
      <c r="Z7" s="1"/>
      <c r="AA7" s="86" t="s">
        <v>107</v>
      </c>
      <c r="AB7" s="87" t="str">
        <f aca="false">IF(N(INDEX(Dashboard!$D:$D,9))=0,"to enter",INDEX(Dashboard!$D:$D,9))</f>
        <v>to enter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88" t="n">
        <f aca="false">IF(INDEX($B:$B,7)="","",IF(INDEX($K:$K,7)&lt;&gt;"",INDEX($K:$K,7),J7))</f>
        <v>0</v>
      </c>
      <c r="AN7" s="1" t="n">
        <v>3000</v>
      </c>
      <c r="AO7" s="1" t="n">
        <v>40</v>
      </c>
      <c r="AP7" s="1" t="n">
        <v>1</v>
      </c>
      <c r="AQ7" s="1" t="n">
        <v>1500</v>
      </c>
      <c r="AR7" s="1" t="n">
        <v>0</v>
      </c>
      <c r="AS7" s="43" t="n">
        <f aca="false">IF(AP7="",0,N(AN7)+N(AO7)*$AV$7)</f>
        <v>7000</v>
      </c>
      <c r="AT7" s="43" t="n">
        <f aca="false">IF(AP7="",0,N(AQ7)+N(AR7)*$AV$7)</f>
        <v>1500</v>
      </c>
      <c r="AU7" s="1"/>
      <c r="AV7" s="43" t="n">
        <f aca="false">IF(N(INDEX(Dashboard!$D:$D,10))&gt;0,INDEX(Dashboard!$D:$D,10),MAX(100,SUM(Guests!$AI$7:$AI$506)))</f>
        <v>100</v>
      </c>
      <c r="AW7" s="1"/>
      <c r="AX7" s="1"/>
      <c r="AY7" s="1"/>
    </row>
    <row r="8" customFormat="false" ht="30" hidden="false" customHeight="true" outlineLevel="0" collapsed="false">
      <c r="A8" s="1"/>
      <c r="B8" s="79" t="s">
        <v>108</v>
      </c>
      <c r="C8" s="79"/>
      <c r="D8" s="79"/>
      <c r="E8" s="80" t="s">
        <v>109</v>
      </c>
      <c r="F8" s="80"/>
      <c r="G8" s="80"/>
      <c r="H8" s="80"/>
      <c r="I8" s="80"/>
      <c r="J8" s="81" t="n">
        <f aca="false">IF(OR(INDEX($B:$B,8)="",AP8="",N(INDEX(Dashboard!$D:$D,9))=0),0,IF(AP8=0,0.05*INDEX(Dashboard!$D:$D,9),IF(AP8=1,$AV$11,$AV$12)*AS8))</f>
        <v>0</v>
      </c>
      <c r="K8" s="82"/>
      <c r="L8" s="82"/>
      <c r="M8" s="82"/>
      <c r="N8" s="83"/>
      <c r="O8" s="84" t="str">
        <f>""</f>
        <v/>
      </c>
      <c r="P8" s="84"/>
      <c r="Q8" s="84"/>
      <c r="R8" s="85" t="str">
        <f aca="false">IF(INDEX($B:$B,8)="","",IF(AND(INDEX($M:$M,8)="",N(O8)=0),"",N(INDEX($M:$M,8))*IF(INDEX($N:$N,8)="+ VAT",1.2,1)+N(O8)))</f>
        <v/>
      </c>
      <c r="S8" s="85"/>
      <c r="T8" s="84" t="str">
        <f>""</f>
        <v/>
      </c>
      <c r="U8" s="84"/>
      <c r="V8" s="84"/>
      <c r="W8" s="85" t="str">
        <f aca="false">IF(R8="","",R8-N(T8))</f>
        <v/>
      </c>
      <c r="X8" s="85" t="str">
        <f aca="false">IF(R8="","",IF(INDEX($K:$K,8)&lt;&gt;"",INDEX($K:$K,8),J8)-R8)</f>
        <v/>
      </c>
      <c r="Y8" s="79"/>
      <c r="Z8" s="1"/>
      <c r="AA8" s="86" t="s">
        <v>110</v>
      </c>
      <c r="AB8" s="89" t="n">
        <f aca="false">AV7</f>
        <v>100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88" t="n">
        <f aca="false">IF(INDEX($B:$B,8)="","",IF(INDEX($K:$K,8)&lt;&gt;"",INDEX($K:$K,8),J8))</f>
        <v>0</v>
      </c>
      <c r="AN8" s="1" t="n">
        <v>0</v>
      </c>
      <c r="AO8" s="1" t="n">
        <v>85</v>
      </c>
      <c r="AP8" s="1" t="n">
        <v>1</v>
      </c>
      <c r="AQ8" s="1" t="n">
        <v>0</v>
      </c>
      <c r="AR8" s="1" t="n">
        <v>40</v>
      </c>
      <c r="AS8" s="43" t="n">
        <f aca="false">IF(AP8="",0,N(AN8)+N(AO8)*$AV$7)</f>
        <v>8500</v>
      </c>
      <c r="AT8" s="43" t="n">
        <f aca="false">IF(AP8="",0,N(AQ8)+N(AR8)*$AV$7)</f>
        <v>4000</v>
      </c>
      <c r="AU8" s="1"/>
      <c r="AV8" s="43" t="n">
        <f aca="false">N(INDEX(Dashboard!$D:$D,9))*0.95</f>
        <v>0</v>
      </c>
      <c r="AW8" s="1"/>
      <c r="AX8" s="1"/>
      <c r="AY8" s="1"/>
    </row>
    <row r="9" customFormat="false" ht="30" hidden="false" customHeight="true" outlineLevel="0" collapsed="false">
      <c r="A9" s="1"/>
      <c r="B9" s="79" t="s">
        <v>111</v>
      </c>
      <c r="C9" s="79"/>
      <c r="D9" s="79"/>
      <c r="E9" s="80" t="s">
        <v>112</v>
      </c>
      <c r="F9" s="80"/>
      <c r="G9" s="80"/>
      <c r="H9" s="80"/>
      <c r="I9" s="80"/>
      <c r="J9" s="81" t="n">
        <f aca="false">IF(OR(INDEX($B:$B,9)="",AP9="",N(INDEX(Dashboard!$D:$D,9))=0),0,IF(AP9=0,0.05*INDEX(Dashboard!$D:$D,9),IF(AP9=1,$AV$11,$AV$12)*AS9))</f>
        <v>0</v>
      </c>
      <c r="K9" s="82"/>
      <c r="L9" s="82"/>
      <c r="M9" s="82"/>
      <c r="N9" s="83"/>
      <c r="O9" s="84" t="str">
        <f>""</f>
        <v/>
      </c>
      <c r="P9" s="84"/>
      <c r="Q9" s="84"/>
      <c r="R9" s="85" t="str">
        <f aca="false">IF(INDEX($B:$B,9)="","",IF(AND(INDEX($M:$M,9)="",N(O9)=0),"",N(INDEX($M:$M,9))*IF(INDEX($N:$N,9)="+ VAT",1.2,1)+N(O9)))</f>
        <v/>
      </c>
      <c r="S9" s="85"/>
      <c r="T9" s="84" t="str">
        <f>""</f>
        <v/>
      </c>
      <c r="U9" s="84"/>
      <c r="V9" s="84"/>
      <c r="W9" s="85" t="str">
        <f aca="false">IF(R9="","",R9-N(T9))</f>
        <v/>
      </c>
      <c r="X9" s="85" t="str">
        <f aca="false">IF(R9="","",IF(INDEX($K:$K,9)&lt;&gt;"",INDEX($K:$K,9),J9)-R9)</f>
        <v/>
      </c>
      <c r="Y9" s="79"/>
      <c r="Z9" s="1"/>
      <c r="AA9" s="86" t="s">
        <v>113</v>
      </c>
      <c r="AB9" s="87" t="n">
        <f aca="false">ROUND((9000+140*AB8)*IFERROR(INDEX(Lists!$AH$1:$AH$13,MATCH(AB12,Lists!$AG$1:$AG$13,0)),20604)/20604/100,0)*100</f>
        <v>23000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88" t="n">
        <f aca="false">IF(INDEX($B:$B,9)="","",IF(INDEX($K:$K,9)&lt;&gt;"",INDEX($K:$K,9),J9))</f>
        <v>0</v>
      </c>
      <c r="AN9" s="1" t="n">
        <v>1484</v>
      </c>
      <c r="AO9" s="1" t="n">
        <v>0</v>
      </c>
      <c r="AP9" s="1" t="n">
        <v>1</v>
      </c>
      <c r="AQ9" s="1" t="n">
        <v>800</v>
      </c>
      <c r="AR9" s="1" t="n">
        <v>0</v>
      </c>
      <c r="AS9" s="43" t="n">
        <f aca="false">IF(AP9="",0,N(AN9)+N(AO9)*$AV$7)</f>
        <v>1484</v>
      </c>
      <c r="AT9" s="43" t="n">
        <f aca="false">IF(AP9="",0,N(AQ9)+N(AR9)*$AV$7)</f>
        <v>800</v>
      </c>
      <c r="AU9" s="1"/>
      <c r="AV9" s="43" t="n">
        <f aca="false">SUMPRODUCT((AP7:AP42=1)*AS7:AS42)</f>
        <v>27416</v>
      </c>
      <c r="AW9" s="1"/>
      <c r="AX9" s="1"/>
      <c r="AY9" s="1"/>
    </row>
    <row r="10" customFormat="false" ht="30" hidden="false" customHeight="true" outlineLevel="0" collapsed="false">
      <c r="A10" s="1"/>
      <c r="B10" s="79" t="s">
        <v>114</v>
      </c>
      <c r="C10" s="79"/>
      <c r="D10" s="79"/>
      <c r="E10" s="80" t="s">
        <v>115</v>
      </c>
      <c r="F10" s="80"/>
      <c r="G10" s="80"/>
      <c r="H10" s="80"/>
      <c r="I10" s="80"/>
      <c r="J10" s="81" t="n">
        <f aca="false">IF(OR(INDEX($B:$B,10)="",AP10="",N(INDEX(Dashboard!$D:$D,9))=0),0,IF(AP10=0,0.05*INDEX(Dashboard!$D:$D,9),IF(AP10=1,$AV$11,$AV$12)*AS10))</f>
        <v>0</v>
      </c>
      <c r="K10" s="82"/>
      <c r="L10" s="82"/>
      <c r="M10" s="82"/>
      <c r="N10" s="83"/>
      <c r="O10" s="84" t="str">
        <f>""</f>
        <v/>
      </c>
      <c r="P10" s="84"/>
      <c r="Q10" s="84"/>
      <c r="R10" s="85" t="str">
        <f aca="false">IF(INDEX($B:$B,10)="","",IF(AND(INDEX($M:$M,10)="",N(O10)=0),"",N(INDEX($M:$M,10))*IF(INDEX($N:$N,10)="+ VAT",1.2,1)+N(O10)))</f>
        <v/>
      </c>
      <c r="S10" s="85"/>
      <c r="T10" s="84" t="str">
        <f>""</f>
        <v/>
      </c>
      <c r="U10" s="84"/>
      <c r="V10" s="84"/>
      <c r="W10" s="85" t="str">
        <f aca="false">IF(R10="","",R10-N(T10))</f>
        <v/>
      </c>
      <c r="X10" s="85" t="str">
        <f aca="false">IF(R10="","",IF(INDEX($K:$K,10)&lt;&gt;"",INDEX($K:$K,10),J10)-R10)</f>
        <v/>
      </c>
      <c r="Y10" s="79"/>
      <c r="Z10" s="1"/>
      <c r="AA10" s="86" t="s">
        <v>116</v>
      </c>
      <c r="AB10" s="90" t="str">
        <f aca="false">IF(N(INDEX(Dashboard!$D:$D,9))=0,"Enter your budget first",IF(INDEX(Dashboard!$D:$D,9)&gt;=1.2*AB9,"Comfortable",IF(INDEX(Dashboard!$D:$D,9)&gt;=0.9*AB9,"About average",IF(INDEX(Dashboard!$D:$D,9)&gt;=0.7*AB9,"Tight: choices to make","Very tight"))))</f>
        <v>Enter your budget first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88" t="n">
        <f aca="false">IF(INDEX($B:$B,10)="","",IF(INDEX($K:$K,10)&lt;&gt;"",INDEX($K:$K,10),J10))</f>
        <v>0</v>
      </c>
      <c r="AN10" s="1" t="n">
        <v>1514</v>
      </c>
      <c r="AO10" s="1" t="n">
        <v>0</v>
      </c>
      <c r="AP10" s="1" t="n">
        <v>3</v>
      </c>
      <c r="AQ10" s="1" t="n">
        <v>800</v>
      </c>
      <c r="AR10" s="1" t="n">
        <v>0</v>
      </c>
      <c r="AS10" s="43" t="n">
        <f aca="false">IF(AP10="",0,N(AN10)+N(AO10)*$AV$7)</f>
        <v>1514</v>
      </c>
      <c r="AT10" s="43" t="n">
        <f aca="false">IF(AP10="",0,N(AQ10)+N(AR10)*$AV$7)</f>
        <v>800</v>
      </c>
      <c r="AU10" s="1"/>
      <c r="AV10" s="43" t="n">
        <f aca="false">SUMPRODUCT((AP7:AP42=3)*AS7:AS42)</f>
        <v>8401</v>
      </c>
      <c r="AW10" s="1"/>
      <c r="AX10" s="1"/>
      <c r="AY10" s="1"/>
    </row>
    <row r="11" customFormat="false" ht="30" hidden="false" customHeight="true" outlineLevel="0" collapsed="false">
      <c r="A11" s="1"/>
      <c r="B11" s="79" t="s">
        <v>117</v>
      </c>
      <c r="C11" s="79"/>
      <c r="D11" s="79"/>
      <c r="E11" s="80" t="s">
        <v>118</v>
      </c>
      <c r="F11" s="80"/>
      <c r="G11" s="80"/>
      <c r="H11" s="80"/>
      <c r="I11" s="80"/>
      <c r="J11" s="81" t="n">
        <f aca="false">IF(OR(INDEX($B:$B,11)="",AP11="",N(INDEX(Dashboard!$D:$D,9))=0),0,IF(AP11=0,0.05*INDEX(Dashboard!$D:$D,9),IF(AP11=1,$AV$11,$AV$12)*AS11))</f>
        <v>0</v>
      </c>
      <c r="K11" s="82"/>
      <c r="L11" s="82"/>
      <c r="M11" s="82"/>
      <c r="N11" s="83"/>
      <c r="O11" s="84" t="str">
        <f>""</f>
        <v/>
      </c>
      <c r="P11" s="84"/>
      <c r="Q11" s="84"/>
      <c r="R11" s="85" t="str">
        <f aca="false">IF(INDEX($B:$B,11)="","",IF(AND(INDEX($M:$M,11)="",N(O11)=0),"",N(INDEX($M:$M,11))*IF(INDEX($N:$N,11)="+ VAT",1.2,1)+N(O11)))</f>
        <v/>
      </c>
      <c r="S11" s="85"/>
      <c r="T11" s="84" t="str">
        <f>""</f>
        <v/>
      </c>
      <c r="U11" s="84"/>
      <c r="V11" s="84"/>
      <c r="W11" s="85" t="str">
        <f aca="false">IF(R11="","",R11-N(T11))</f>
        <v/>
      </c>
      <c r="X11" s="85" t="str">
        <f aca="false">IF(R11="","",IF(INDEX($K:$K,11)&lt;&gt;"",INDEX($K:$K,11),J11)-R11)</f>
        <v/>
      </c>
      <c r="Y11" s="79"/>
      <c r="Z11" s="1"/>
      <c r="AA11" s="86" t="s">
        <v>119</v>
      </c>
      <c r="AB11" s="91" t="str">
        <f aca="false">IF(N(AV8)=0,"–",IF(AV12=0,"not funded",IF(AV12&lt;AV11,"partly","funded")))</f>
        <v>–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88" t="n">
        <f aca="false">IF(INDEX($B:$B,11)="","",IF(INDEX($K:$K,11)&lt;&gt;"",INDEX($K:$K,11),J11))</f>
        <v>0</v>
      </c>
      <c r="AN11" s="1" t="n">
        <v>1061</v>
      </c>
      <c r="AO11" s="1" t="n">
        <v>0</v>
      </c>
      <c r="AP11" s="1" t="n">
        <v>1</v>
      </c>
      <c r="AQ11" s="1" t="n">
        <v>500</v>
      </c>
      <c r="AR11" s="1" t="n">
        <v>0</v>
      </c>
      <c r="AS11" s="43" t="n">
        <f aca="false">IF(AP11="",0,N(AN11)+N(AO11)*$AV$7)</f>
        <v>1061</v>
      </c>
      <c r="AT11" s="43" t="n">
        <f aca="false">IF(AP11="",0,N(AQ11)+N(AR11)*$AV$7)</f>
        <v>500</v>
      </c>
      <c r="AU11" s="1"/>
      <c r="AV11" s="43" t="n">
        <f aca="false">IF(AV9=0,0,IF(AV8&gt;=AV9+AV10,AV8/(AV9+AV10),IF(AV8&gt;=AV9+0.5*AV10,1,AV8/AV9)))</f>
        <v>0</v>
      </c>
      <c r="AW11" s="1"/>
      <c r="AX11" s="1"/>
      <c r="AY11" s="1"/>
    </row>
    <row r="12" customFormat="false" ht="30" hidden="false" customHeight="true" outlineLevel="0" collapsed="false">
      <c r="A12" s="1"/>
      <c r="B12" s="79" t="s">
        <v>120</v>
      </c>
      <c r="C12" s="79"/>
      <c r="D12" s="79"/>
      <c r="E12" s="80" t="s">
        <v>121</v>
      </c>
      <c r="F12" s="80"/>
      <c r="G12" s="80"/>
      <c r="H12" s="80"/>
      <c r="I12" s="80"/>
      <c r="J12" s="81" t="n">
        <f aca="false">IF(OR(INDEX($B:$B,12)="",AP12="",N(INDEX(Dashboard!$D:$D,9))=0),0,IF(AP12=0,0.05*INDEX(Dashboard!$D:$D,9),IF(AP12=1,$AV$11,$AV$12)*AS12))</f>
        <v>0</v>
      </c>
      <c r="K12" s="82"/>
      <c r="L12" s="82"/>
      <c r="M12" s="82"/>
      <c r="N12" s="83"/>
      <c r="O12" s="84" t="str">
        <f>""</f>
        <v/>
      </c>
      <c r="P12" s="84"/>
      <c r="Q12" s="84"/>
      <c r="R12" s="85" t="str">
        <f aca="false">IF(INDEX($B:$B,12)="","",IF(AND(INDEX($M:$M,12)="",N(O12)=0),"",N(INDEX($M:$M,12))*IF(INDEX($N:$N,12)="+ VAT",1.2,1)+N(O12)))</f>
        <v/>
      </c>
      <c r="S12" s="85"/>
      <c r="T12" s="84" t="str">
        <f>""</f>
        <v/>
      </c>
      <c r="U12" s="84"/>
      <c r="V12" s="84"/>
      <c r="W12" s="85" t="str">
        <f aca="false">IF(R12="","",R12-N(T12))</f>
        <v/>
      </c>
      <c r="X12" s="85" t="str">
        <f aca="false">IF(R12="","",IF(INDEX($K:$K,12)&lt;&gt;"",INDEX($K:$K,12),J12)-R12)</f>
        <v/>
      </c>
      <c r="Y12" s="79"/>
      <c r="Z12" s="1"/>
      <c r="AA12" s="86" t="s">
        <v>122</v>
      </c>
      <c r="AB12" s="92" t="s">
        <v>123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88" t="n">
        <f aca="false">IF(INDEX($B:$B,12)="","",IF(INDEX($K:$K,12)&lt;&gt;"",INDEX($K:$K,12),J12))</f>
        <v>0</v>
      </c>
      <c r="AN12" s="1" t="n">
        <v>600</v>
      </c>
      <c r="AO12" s="1" t="n">
        <v>8</v>
      </c>
      <c r="AP12" s="1" t="n">
        <v>1</v>
      </c>
      <c r="AQ12" s="1" t="n">
        <v>300</v>
      </c>
      <c r="AR12" s="1" t="n">
        <v>0</v>
      </c>
      <c r="AS12" s="43" t="n">
        <f aca="false">IF(AP12="",0,N(AN12)+N(AO12)*$AV$7)</f>
        <v>1400</v>
      </c>
      <c r="AT12" s="43" t="n">
        <f aca="false">IF(AP12="",0,N(AQ12)+N(AR12)*$AV$7)</f>
        <v>300</v>
      </c>
      <c r="AU12" s="1"/>
      <c r="AV12" s="43" t="n">
        <f aca="false">IF(AV10=0,0,IF(AV8&gt;=AV9+AV10,AV8/(AV9+AV10),IF(AV8&gt;=AV9+0.5*AV10,(AV8-AV9)/AV10,0)))</f>
        <v>0</v>
      </c>
      <c r="AW12" s="1"/>
      <c r="AX12" s="1"/>
      <c r="AY12" s="1"/>
    </row>
    <row r="13" customFormat="false" ht="30" hidden="false" customHeight="true" outlineLevel="0" collapsed="false">
      <c r="A13" s="1"/>
      <c r="B13" s="79" t="s">
        <v>124</v>
      </c>
      <c r="C13" s="79"/>
      <c r="D13" s="79"/>
      <c r="E13" s="80" t="s">
        <v>125</v>
      </c>
      <c r="F13" s="80"/>
      <c r="G13" s="80"/>
      <c r="H13" s="80"/>
      <c r="I13" s="80"/>
      <c r="J13" s="81" t="n">
        <f aca="false">IF(OR(INDEX($B:$B,13)="",AP13="",N(INDEX(Dashboard!$D:$D,9))=0),0,IF(AP13=0,0.05*INDEX(Dashboard!$D:$D,9),IF(AP13=1,$AV$11,$AV$12)*AS13))</f>
        <v>0</v>
      </c>
      <c r="K13" s="82"/>
      <c r="L13" s="82"/>
      <c r="M13" s="82"/>
      <c r="N13" s="83"/>
      <c r="O13" s="84" t="str">
        <f>""</f>
        <v/>
      </c>
      <c r="P13" s="84"/>
      <c r="Q13" s="84"/>
      <c r="R13" s="85" t="str">
        <f aca="false">IF(INDEX($B:$B,13)="","",IF(AND(INDEX($M:$M,13)="",N(O13)=0),"",N(INDEX($M:$M,13))*IF(INDEX($N:$N,13)="+ VAT",1.2,1)+N(O13)))</f>
        <v/>
      </c>
      <c r="S13" s="85"/>
      <c r="T13" s="84" t="str">
        <f>""</f>
        <v/>
      </c>
      <c r="U13" s="84"/>
      <c r="V13" s="84"/>
      <c r="W13" s="85" t="str">
        <f aca="false">IF(R13="","",R13-N(T13))</f>
        <v/>
      </c>
      <c r="X13" s="85" t="str">
        <f aca="false">IF(R13="","",IF(INDEX($K:$K,13)&lt;&gt;"",INDEX($K:$K,13),J13)-R13)</f>
        <v/>
      </c>
      <c r="Y13" s="79"/>
      <c r="Z13" s="1"/>
      <c r="AA13" s="77" t="s">
        <v>126</v>
      </c>
      <c r="AB13" s="78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88" t="n">
        <f aca="false">IF(INDEX($B:$B,13)="","",IF(INDEX($K:$K,13)&lt;&gt;"",INDEX($K:$K,13),J13))</f>
        <v>0</v>
      </c>
      <c r="AN13" s="1" t="n">
        <v>1980</v>
      </c>
      <c r="AO13" s="1" t="n">
        <v>0</v>
      </c>
      <c r="AP13" s="1" t="n">
        <v>1</v>
      </c>
      <c r="AQ13" s="1" t="n">
        <v>400</v>
      </c>
      <c r="AR13" s="1" t="n">
        <v>0</v>
      </c>
      <c r="AS13" s="43" t="n">
        <f aca="false">IF(AP13="",0,N(AN13)+N(AO13)*$AV$7)</f>
        <v>1980</v>
      </c>
      <c r="AT13" s="43" t="n">
        <f aca="false">IF(AP13="",0,N(AQ13)+N(AR13)*$AV$7)</f>
        <v>400</v>
      </c>
      <c r="AU13" s="1"/>
      <c r="AV13" s="1"/>
      <c r="AW13" s="1"/>
      <c r="AX13" s="1"/>
      <c r="AY13" s="1"/>
    </row>
    <row r="14" customFormat="false" ht="30" hidden="false" customHeight="true" outlineLevel="0" collapsed="false">
      <c r="A14" s="1"/>
      <c r="B14" s="79" t="s">
        <v>127</v>
      </c>
      <c r="C14" s="79"/>
      <c r="D14" s="79"/>
      <c r="E14" s="80" t="s">
        <v>128</v>
      </c>
      <c r="F14" s="80"/>
      <c r="G14" s="80"/>
      <c r="H14" s="80"/>
      <c r="I14" s="80"/>
      <c r="J14" s="81" t="n">
        <f aca="false">IF(OR(INDEX($B:$B,14)="",AP14="",N(INDEX(Dashboard!$D:$D,9))=0),0,IF(AP14=0,0.05*INDEX(Dashboard!$D:$D,9),IF(AP14=1,$AV$11,$AV$12)*AS14))</f>
        <v>0</v>
      </c>
      <c r="K14" s="82"/>
      <c r="L14" s="82"/>
      <c r="M14" s="82"/>
      <c r="N14" s="83"/>
      <c r="O14" s="84" t="str">
        <f>""</f>
        <v/>
      </c>
      <c r="P14" s="84"/>
      <c r="Q14" s="84"/>
      <c r="R14" s="85" t="str">
        <f aca="false">IF(INDEX($B:$B,14)="","",IF(AND(INDEX($M:$M,14)="",N(O14)=0),"",N(INDEX($M:$M,14))*IF(INDEX($N:$N,14)="+ VAT",1.2,1)+N(O14)))</f>
        <v/>
      </c>
      <c r="S14" s="85"/>
      <c r="T14" s="84" t="str">
        <f>""</f>
        <v/>
      </c>
      <c r="U14" s="84"/>
      <c r="V14" s="84"/>
      <c r="W14" s="85" t="str">
        <f aca="false">IF(R14="","",R14-N(T14))</f>
        <v/>
      </c>
      <c r="X14" s="85" t="str">
        <f aca="false">IF(R14="","",IF(INDEX($K:$K,14)&lt;&gt;"",INDEX($K:$K,14),J14)-R14)</f>
        <v/>
      </c>
      <c r="Y14" s="79"/>
      <c r="Z14" s="1"/>
      <c r="AA14" s="86" t="s">
        <v>129</v>
      </c>
      <c r="AB14" s="93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88" t="n">
        <f aca="false">IF(INDEX($B:$B,14)="","",IF(INDEX($K:$K,14)&lt;&gt;"",INDEX($K:$K,14),J14))</f>
        <v>0</v>
      </c>
      <c r="AN14" s="1" t="n">
        <v>859</v>
      </c>
      <c r="AO14" s="1" t="n">
        <v>0</v>
      </c>
      <c r="AP14" s="1" t="n">
        <v>1</v>
      </c>
      <c r="AQ14" s="1" t="n">
        <v>150</v>
      </c>
      <c r="AR14" s="1" t="n">
        <v>0</v>
      </c>
      <c r="AS14" s="43" t="n">
        <f aca="false">IF(AP14="",0,N(AN14)+N(AO14)*$AV$7)</f>
        <v>859</v>
      </c>
      <c r="AT14" s="43" t="n">
        <f aca="false">IF(AP14="",0,N(AQ14)+N(AR14)*$AV$7)</f>
        <v>150</v>
      </c>
      <c r="AU14" s="1"/>
      <c r="AV14" s="1"/>
      <c r="AW14" s="1"/>
      <c r="AX14" s="1"/>
      <c r="AY14" s="1"/>
    </row>
    <row r="15" customFormat="false" ht="30" hidden="false" customHeight="true" outlineLevel="0" collapsed="false">
      <c r="A15" s="1"/>
      <c r="B15" s="79" t="s">
        <v>130</v>
      </c>
      <c r="C15" s="79"/>
      <c r="D15" s="79"/>
      <c r="E15" s="80" t="s">
        <v>131</v>
      </c>
      <c r="F15" s="80"/>
      <c r="G15" s="80"/>
      <c r="H15" s="80"/>
      <c r="I15" s="80"/>
      <c r="J15" s="81" t="n">
        <f aca="false">IF(OR(INDEX($B:$B,15)="",AP15="",N(INDEX(Dashboard!$D:$D,9))=0),0,IF(AP15=0,0.05*INDEX(Dashboard!$D:$D,9),IF(AP15=1,$AV$11,$AV$12)*AS15))</f>
        <v>0</v>
      </c>
      <c r="K15" s="82"/>
      <c r="L15" s="82"/>
      <c r="M15" s="82"/>
      <c r="N15" s="83"/>
      <c r="O15" s="84" t="str">
        <f>""</f>
        <v/>
      </c>
      <c r="P15" s="84"/>
      <c r="Q15" s="84"/>
      <c r="R15" s="85" t="str">
        <f aca="false">IF(INDEX($B:$B,15)="","",IF(AND(INDEX($M:$M,15)="",N(O15)=0),"",N(INDEX($M:$M,15))*IF(INDEX($N:$N,15)="+ VAT",1.2,1)+N(O15)))</f>
        <v/>
      </c>
      <c r="S15" s="85"/>
      <c r="T15" s="84" t="str">
        <f>""</f>
        <v/>
      </c>
      <c r="U15" s="84"/>
      <c r="V15" s="84"/>
      <c r="W15" s="85" t="str">
        <f aca="false">IF(R15="","",R15-N(T15))</f>
        <v/>
      </c>
      <c r="X15" s="85" t="str">
        <f aca="false">IF(R15="","",IF(INDEX($K:$K,15)&lt;&gt;"",INDEX($K:$K,15),J15)-R15)</f>
        <v/>
      </c>
      <c r="Y15" s="79"/>
      <c r="Z15" s="1"/>
      <c r="AA15" s="94" t="str">
        <f aca="false">IF(INDEX(Dashboard!$D:$D,6)="","(first name 1)'s family",INDEX(Dashboard!$D:$D,6)&amp;"'s family")</f>
        <v>(first name 1)'s family</v>
      </c>
      <c r="AB15" s="93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88" t="n">
        <f aca="false">IF(INDEX($B:$B,15)="","",IF(INDEX($K:$K,15)&lt;&gt;"",INDEX($K:$K,15),J15))</f>
        <v>0</v>
      </c>
      <c r="AN15" s="1" t="n">
        <v>1057</v>
      </c>
      <c r="AO15" s="1" t="n">
        <v>0</v>
      </c>
      <c r="AP15" s="1" t="n">
        <v>1</v>
      </c>
      <c r="AQ15" s="1" t="n">
        <v>300</v>
      </c>
      <c r="AR15" s="1" t="n">
        <v>0</v>
      </c>
      <c r="AS15" s="43" t="n">
        <f aca="false">IF(AP15="",0,N(AN15)+N(AO15)*$AV$7)</f>
        <v>1057</v>
      </c>
      <c r="AT15" s="43" t="n">
        <f aca="false">IF(AP15="",0,N(AQ15)+N(AR15)*$AV$7)</f>
        <v>300</v>
      </c>
      <c r="AU15" s="1"/>
      <c r="AV15" s="1"/>
      <c r="AW15" s="1"/>
      <c r="AX15" s="1"/>
      <c r="AY15" s="1"/>
    </row>
    <row r="16" customFormat="false" ht="30" hidden="false" customHeight="true" outlineLevel="0" collapsed="false">
      <c r="A16" s="1"/>
      <c r="B16" s="79" t="s">
        <v>132</v>
      </c>
      <c r="C16" s="79"/>
      <c r="D16" s="79"/>
      <c r="E16" s="80" t="s">
        <v>133</v>
      </c>
      <c r="F16" s="80"/>
      <c r="G16" s="80"/>
      <c r="H16" s="80"/>
      <c r="I16" s="80"/>
      <c r="J16" s="81" t="n">
        <f aca="false">IF(OR(INDEX($B:$B,16)="",AP16="",N(INDEX(Dashboard!$D:$D,9))=0),0,IF(AP16=0,0.05*INDEX(Dashboard!$D:$D,9),IF(AP16=1,$AV$11,$AV$12)*AS16))</f>
        <v>0</v>
      </c>
      <c r="K16" s="82"/>
      <c r="L16" s="82"/>
      <c r="M16" s="82"/>
      <c r="N16" s="83"/>
      <c r="O16" s="84" t="str">
        <f>""</f>
        <v/>
      </c>
      <c r="P16" s="84"/>
      <c r="Q16" s="84"/>
      <c r="R16" s="85" t="str">
        <f aca="false">IF(INDEX($B:$B,16)="","",IF(AND(INDEX($M:$M,16)="",N(O16)=0),"",N(INDEX($M:$M,16))*IF(INDEX($N:$N,16)="+ VAT",1.2,1)+N(O16)))</f>
        <v/>
      </c>
      <c r="S16" s="85"/>
      <c r="T16" s="84" t="str">
        <f>""</f>
        <v/>
      </c>
      <c r="U16" s="84"/>
      <c r="V16" s="84"/>
      <c r="W16" s="85" t="str">
        <f aca="false">IF(R16="","",R16-N(T16))</f>
        <v/>
      </c>
      <c r="X16" s="85" t="str">
        <f aca="false">IF(R16="","",IF(INDEX($K:$K,16)&lt;&gt;"",INDEX($K:$K,16),J16)-R16)</f>
        <v/>
      </c>
      <c r="Y16" s="79"/>
      <c r="Z16" s="1"/>
      <c r="AA16" s="94" t="str">
        <f aca="false">IF(INDEX(Dashboard!$D:$D,7)="","(first name 2)'s family",INDEX(Dashboard!$D:$D,7)&amp;"'s family")</f>
        <v>(first name 2)'s family</v>
      </c>
      <c r="AB16" s="93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88" t="n">
        <f aca="false">IF(INDEX($B:$B,16)="","",IF(INDEX($K:$K,16)&lt;&gt;"",INDEX($K:$K,16),J16))</f>
        <v>0</v>
      </c>
      <c r="AN16" s="1" t="n">
        <v>811</v>
      </c>
      <c r="AO16" s="1" t="n">
        <v>0</v>
      </c>
      <c r="AP16" s="1" t="n">
        <v>1</v>
      </c>
      <c r="AQ16" s="1" t="n">
        <v>200</v>
      </c>
      <c r="AR16" s="1" t="n">
        <v>0</v>
      </c>
      <c r="AS16" s="43" t="n">
        <f aca="false">IF(AP16="",0,N(AN16)+N(AO16)*$AV$7)</f>
        <v>811</v>
      </c>
      <c r="AT16" s="43" t="n">
        <f aca="false">IF(AP16="",0,N(AQ16)+N(AR16)*$AV$7)</f>
        <v>200</v>
      </c>
      <c r="AU16" s="1"/>
      <c r="AV16" s="1"/>
      <c r="AW16" s="1"/>
      <c r="AX16" s="1"/>
      <c r="AY16" s="1"/>
    </row>
    <row r="17" customFormat="false" ht="30" hidden="false" customHeight="true" outlineLevel="0" collapsed="false">
      <c r="A17" s="1"/>
      <c r="B17" s="79" t="s">
        <v>134</v>
      </c>
      <c r="C17" s="79"/>
      <c r="D17" s="79"/>
      <c r="E17" s="80" t="s">
        <v>135</v>
      </c>
      <c r="F17" s="80"/>
      <c r="G17" s="80"/>
      <c r="H17" s="80"/>
      <c r="I17" s="80"/>
      <c r="J17" s="81" t="n">
        <f aca="false">IF(OR(INDEX($B:$B,17)="",AP17="",N(INDEX(Dashboard!$D:$D,9))=0),0,IF(AP17=0,0.05*INDEX(Dashboard!$D:$D,9),IF(AP17=1,$AV$11,$AV$12)*AS17))</f>
        <v>0</v>
      </c>
      <c r="K17" s="82"/>
      <c r="L17" s="82"/>
      <c r="M17" s="82"/>
      <c r="N17" s="83"/>
      <c r="O17" s="84" t="str">
        <f>""</f>
        <v/>
      </c>
      <c r="P17" s="84"/>
      <c r="Q17" s="84"/>
      <c r="R17" s="85" t="str">
        <f aca="false">IF(INDEX($B:$B,17)="","",IF(AND(INDEX($M:$M,17)="",N(O17)=0),"",N(INDEX($M:$M,17))*IF(INDEX($N:$N,17)="+ VAT",1.2,1)+N(O17)))</f>
        <v/>
      </c>
      <c r="S17" s="85"/>
      <c r="T17" s="84" t="str">
        <f>""</f>
        <v/>
      </c>
      <c r="U17" s="84"/>
      <c r="V17" s="84"/>
      <c r="W17" s="85" t="str">
        <f aca="false">IF(R17="","",R17-N(T17))</f>
        <v/>
      </c>
      <c r="X17" s="85" t="str">
        <f aca="false">IF(R17="","",IF(INDEX($K:$K,17)&lt;&gt;"",INDEX($K:$K,17),J17)-R17)</f>
        <v/>
      </c>
      <c r="Y17" s="79"/>
      <c r="Z17" s="1"/>
      <c r="AA17" s="86" t="s">
        <v>136</v>
      </c>
      <c r="AB17" s="93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88" t="n">
        <f aca="false">IF(INDEX($B:$B,17)="","",IF(INDEX($K:$K,17)&lt;&gt;"",INDEX($K:$K,17),J17))</f>
        <v>0</v>
      </c>
      <c r="AN17" s="1" t="n">
        <v>0</v>
      </c>
      <c r="AO17" s="1" t="n">
        <v>5</v>
      </c>
      <c r="AP17" s="1" t="n">
        <v>1</v>
      </c>
      <c r="AQ17" s="1" t="n">
        <v>0</v>
      </c>
      <c r="AR17" s="1" t="n">
        <v>1.5</v>
      </c>
      <c r="AS17" s="43" t="n">
        <f aca="false">IF(AP17="",0,N(AN17)+N(AO17)*$AV$7)</f>
        <v>500</v>
      </c>
      <c r="AT17" s="43" t="n">
        <f aca="false">IF(AP17="",0,N(AQ17)+N(AR17)*$AV$7)</f>
        <v>150</v>
      </c>
      <c r="AU17" s="1"/>
      <c r="AV17" s="1"/>
      <c r="AW17" s="1"/>
      <c r="AX17" s="1"/>
      <c r="AY17" s="1"/>
    </row>
    <row r="18" customFormat="false" ht="30" hidden="false" customHeight="true" outlineLevel="0" collapsed="false">
      <c r="A18" s="1"/>
      <c r="B18" s="79" t="s">
        <v>137</v>
      </c>
      <c r="C18" s="79"/>
      <c r="D18" s="79"/>
      <c r="E18" s="80" t="s">
        <v>138</v>
      </c>
      <c r="F18" s="80"/>
      <c r="G18" s="80"/>
      <c r="H18" s="80"/>
      <c r="I18" s="80"/>
      <c r="J18" s="81" t="n">
        <f aca="false">IF(OR(INDEX($B:$B,18)="",AP18="",N(INDEX(Dashboard!$D:$D,9))=0),0,IF(AP18=0,0.05*INDEX(Dashboard!$D:$D,9),IF(AP18=1,$AV$11,$AV$12)*AS18))</f>
        <v>0</v>
      </c>
      <c r="K18" s="82"/>
      <c r="L18" s="82"/>
      <c r="M18" s="82"/>
      <c r="N18" s="83"/>
      <c r="O18" s="84" t="str">
        <f>""</f>
        <v/>
      </c>
      <c r="P18" s="84"/>
      <c r="Q18" s="84"/>
      <c r="R18" s="85" t="str">
        <f aca="false">IF(INDEX($B:$B,18)="","",IF(AND(INDEX($M:$M,18)="",N(O18)=0),"",N(INDEX($M:$M,18))*IF(INDEX($N:$N,18)="+ VAT",1.2,1)+N(O18)))</f>
        <v/>
      </c>
      <c r="S18" s="85"/>
      <c r="T18" s="84" t="str">
        <f>""</f>
        <v/>
      </c>
      <c r="U18" s="84"/>
      <c r="V18" s="84"/>
      <c r="W18" s="85" t="str">
        <f aca="false">IF(R18="","",R18-N(T18))</f>
        <v/>
      </c>
      <c r="X18" s="85" t="str">
        <f aca="false">IF(R18="","",IF(INDEX($K:$K,18)&lt;&gt;"",INDEX($K:$K,18),J18)-R18)</f>
        <v/>
      </c>
      <c r="Y18" s="79"/>
      <c r="Z18" s="1"/>
      <c r="AA18" s="86" t="s">
        <v>139</v>
      </c>
      <c r="AB18" s="87" t="n">
        <f aca="false">SUM(AB14:AB17)</f>
        <v>0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88" t="n">
        <f aca="false">IF(INDEX($B:$B,18)="","",IF(INDEX($K:$K,18)&lt;&gt;"",INDEX($K:$K,18),J18))</f>
        <v>0</v>
      </c>
      <c r="AN18" s="1" t="n">
        <v>360</v>
      </c>
      <c r="AO18" s="1" t="n">
        <v>0</v>
      </c>
      <c r="AP18" s="1" t="n">
        <v>1</v>
      </c>
      <c r="AQ18" s="1" t="n">
        <v>150</v>
      </c>
      <c r="AR18" s="1" t="n">
        <v>0</v>
      </c>
      <c r="AS18" s="43" t="n">
        <f aca="false">IF(AP18="",0,N(AN18)+N(AO18)*$AV$7)</f>
        <v>360</v>
      </c>
      <c r="AT18" s="43" t="n">
        <f aca="false">IF(AP18="",0,N(AQ18)+N(AR18)*$AV$7)</f>
        <v>150</v>
      </c>
      <c r="AU18" s="1"/>
      <c r="AV18" s="1"/>
      <c r="AW18" s="1"/>
      <c r="AX18" s="1"/>
      <c r="AY18" s="1"/>
    </row>
    <row r="19" customFormat="false" ht="30" hidden="false" customHeight="true" outlineLevel="0" collapsed="false">
      <c r="A19" s="1"/>
      <c r="B19" s="79" t="s">
        <v>140</v>
      </c>
      <c r="C19" s="79"/>
      <c r="D19" s="79"/>
      <c r="E19" s="80" t="s">
        <v>141</v>
      </c>
      <c r="F19" s="80"/>
      <c r="G19" s="80"/>
      <c r="H19" s="80"/>
      <c r="I19" s="80"/>
      <c r="J19" s="81" t="n">
        <f aca="false">IF(OR(INDEX($B:$B,19)="",AP19="",N(INDEX(Dashboard!$D:$D,9))=0),0,IF(AP19=0,0.05*INDEX(Dashboard!$D:$D,9),IF(AP19=1,$AV$11,$AV$12)*AS19))</f>
        <v>0</v>
      </c>
      <c r="K19" s="82"/>
      <c r="L19" s="82"/>
      <c r="M19" s="82"/>
      <c r="N19" s="83"/>
      <c r="O19" s="84" t="str">
        <f>""</f>
        <v/>
      </c>
      <c r="P19" s="84"/>
      <c r="Q19" s="84"/>
      <c r="R19" s="85" t="str">
        <f aca="false">IF(INDEX($B:$B,19)="","",IF(AND(INDEX($M:$M,19)="",N(O19)=0),"",N(INDEX($M:$M,19))*IF(INDEX($N:$N,19)="+ VAT",1.2,1)+N(O19)))</f>
        <v/>
      </c>
      <c r="S19" s="85"/>
      <c r="T19" s="84" t="str">
        <f>""</f>
        <v/>
      </c>
      <c r="U19" s="84"/>
      <c r="V19" s="84"/>
      <c r="W19" s="85" t="str">
        <f aca="false">IF(R19="","",R19-N(T19))</f>
        <v/>
      </c>
      <c r="X19" s="85" t="str">
        <f aca="false">IF(R19="","",IF(INDEX($K:$K,19)&lt;&gt;"",INDEX($K:$K,19),J19)-R19)</f>
        <v/>
      </c>
      <c r="Y19" s="79"/>
      <c r="Z19" s="1"/>
      <c r="AA19" s="86" t="s">
        <v>32</v>
      </c>
      <c r="AB19" s="87" t="n">
        <f aca="false">(SUM(Budget!$R$7:$R$42)+SUMPRODUCT((Budget!$R$7:$R$42="")*(Budget!$K$7:$K$42&lt;&gt;"")*Budget!$K$7:$K$42)+SUMPRODUCT((Budget!$R$7:$R$42="")*(Budget!$K$7:$K$42="")*Budget!$J$7:$J$42))</f>
        <v>0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88" t="n">
        <f aca="false">IF(INDEX($B:$B,19)="","",IF(INDEX($K:$K,19)&lt;&gt;"",INDEX($K:$K,19),J19))</f>
        <v>0</v>
      </c>
      <c r="AN19" s="1" t="n">
        <v>504</v>
      </c>
      <c r="AO19" s="1" t="n">
        <v>0</v>
      </c>
      <c r="AP19" s="1" t="n">
        <v>1</v>
      </c>
      <c r="AQ19" s="1" t="n">
        <v>150</v>
      </c>
      <c r="AR19" s="1" t="n">
        <v>0</v>
      </c>
      <c r="AS19" s="43" t="n">
        <f aca="false">IF(AP19="",0,N(AN19)+N(AO19)*$AV$7)</f>
        <v>504</v>
      </c>
      <c r="AT19" s="43" t="n">
        <f aca="false">IF(AP19="",0,N(AQ19)+N(AR19)*$AV$7)</f>
        <v>150</v>
      </c>
      <c r="AU19" s="1"/>
      <c r="AV19" s="1"/>
      <c r="AW19" s="1"/>
      <c r="AX19" s="1"/>
      <c r="AY19" s="1"/>
    </row>
    <row r="20" customFormat="false" ht="30" hidden="false" customHeight="true" outlineLevel="0" collapsed="false">
      <c r="A20" s="1"/>
      <c r="B20" s="79" t="s">
        <v>142</v>
      </c>
      <c r="C20" s="79"/>
      <c r="D20" s="79"/>
      <c r="E20" s="80" t="s">
        <v>143</v>
      </c>
      <c r="F20" s="80"/>
      <c r="G20" s="80"/>
      <c r="H20" s="80"/>
      <c r="I20" s="80"/>
      <c r="J20" s="81" t="n">
        <f aca="false">IF(OR(INDEX($B:$B,20)="",AP20="",N(INDEX(Dashboard!$D:$D,9))=0),0,IF(AP20=0,0.05*INDEX(Dashboard!$D:$D,9),IF(AP20=1,$AV$11,$AV$12)*AS20))</f>
        <v>0</v>
      </c>
      <c r="K20" s="82"/>
      <c r="L20" s="82"/>
      <c r="M20" s="82"/>
      <c r="N20" s="83"/>
      <c r="O20" s="84" t="str">
        <f>""</f>
        <v/>
      </c>
      <c r="P20" s="84"/>
      <c r="Q20" s="84"/>
      <c r="R20" s="85" t="str">
        <f aca="false">IF(INDEX($B:$B,20)="","",IF(AND(INDEX($M:$M,20)="",N(O20)=0),"",N(INDEX($M:$M,20))*IF(INDEX($N:$N,20)="+ VAT",1.2,1)+N(O20)))</f>
        <v/>
      </c>
      <c r="S20" s="85"/>
      <c r="T20" s="84" t="str">
        <f>""</f>
        <v/>
      </c>
      <c r="U20" s="84"/>
      <c r="V20" s="84"/>
      <c r="W20" s="85" t="str">
        <f aca="false">IF(R20="","",R20-N(T20))</f>
        <v/>
      </c>
      <c r="X20" s="85" t="str">
        <f aca="false">IF(R20="","",IF(INDEX($K:$K,20)&lt;&gt;"",INDEX($K:$K,20),J20)-R20)</f>
        <v/>
      </c>
      <c r="Y20" s="79"/>
      <c r="Z20" s="1"/>
      <c r="AA20" s="94" t="str">
        <f aca="false">IF(AB19-AB18&gt;0,"Still to fund","Funding margin")</f>
        <v>Funding margin</v>
      </c>
      <c r="AB20" s="87" t="n">
        <f aca="false">ABS(AB19-AB18)</f>
        <v>0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88" t="n">
        <f aca="false">IF(INDEX($B:$B,20)="","",IF(INDEX($K:$K,20)&lt;&gt;"",INDEX($K:$K,20),J20))</f>
        <v>0</v>
      </c>
      <c r="AN20" s="1" t="n">
        <v>0</v>
      </c>
      <c r="AO20" s="1" t="n">
        <v>15</v>
      </c>
      <c r="AP20" s="1" t="n">
        <v>1</v>
      </c>
      <c r="AQ20" s="1" t="n">
        <v>0</v>
      </c>
      <c r="AR20" s="1" t="n">
        <v>6</v>
      </c>
      <c r="AS20" s="43" t="n">
        <f aca="false">IF(AP20="",0,N(AN20)+N(AO20)*$AV$7)</f>
        <v>1500</v>
      </c>
      <c r="AT20" s="43" t="n">
        <f aca="false">IF(AP20="",0,N(AQ20)+N(AR20)*$AV$7)</f>
        <v>600</v>
      </c>
      <c r="AU20" s="1"/>
      <c r="AV20" s="1"/>
      <c r="AW20" s="1"/>
      <c r="AX20" s="1"/>
      <c r="AY20" s="1"/>
    </row>
    <row r="21" customFormat="false" ht="30" hidden="false" customHeight="true" outlineLevel="0" collapsed="false">
      <c r="A21" s="1"/>
      <c r="B21" s="79" t="s">
        <v>144</v>
      </c>
      <c r="C21" s="79"/>
      <c r="D21" s="79"/>
      <c r="E21" s="80" t="s">
        <v>145</v>
      </c>
      <c r="F21" s="80"/>
      <c r="G21" s="80"/>
      <c r="H21" s="80"/>
      <c r="I21" s="80"/>
      <c r="J21" s="81" t="n">
        <f aca="false">IF(OR(INDEX($B:$B,21)="",AP21="",N(INDEX(Dashboard!$D:$D,9))=0),0,IF(AP21=0,0.05*INDEX(Dashboard!$D:$D,9),IF(AP21=1,$AV$11,$AV$12)*AS21))</f>
        <v>0</v>
      </c>
      <c r="K21" s="82"/>
      <c r="L21" s="82"/>
      <c r="M21" s="82"/>
      <c r="N21" s="83"/>
      <c r="O21" s="84" t="str">
        <f>""</f>
        <v/>
      </c>
      <c r="P21" s="84"/>
      <c r="Q21" s="84"/>
      <c r="R21" s="85" t="str">
        <f aca="false">IF(INDEX($B:$B,21)="","",IF(AND(INDEX($M:$M,21)="",N(O21)=0),"",N(INDEX($M:$M,21))*IF(INDEX($N:$N,21)="+ VAT",1.2,1)+N(O21)))</f>
        <v/>
      </c>
      <c r="S21" s="85"/>
      <c r="T21" s="84" t="str">
        <f>""</f>
        <v/>
      </c>
      <c r="U21" s="84"/>
      <c r="V21" s="84"/>
      <c r="W21" s="85" t="str">
        <f aca="false">IF(R21="","",R21-N(T21))</f>
        <v/>
      </c>
      <c r="X21" s="85" t="str">
        <f aca="false">IF(R21="","",IF(INDEX($K:$K,21)&lt;&gt;"",INDEX($K:$K,21),J21)-R21)</f>
        <v/>
      </c>
      <c r="Y21" s="79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88" t="n">
        <f aca="false">IF(INDEX($B:$B,21)="","",IF(INDEX($K:$K,21)&lt;&gt;"",INDEX($K:$K,21),J21))</f>
        <v>0</v>
      </c>
      <c r="AN21" s="1" t="n">
        <v>593</v>
      </c>
      <c r="AO21" s="1" t="n">
        <v>0</v>
      </c>
      <c r="AP21" s="1" t="n">
        <v>3</v>
      </c>
      <c r="AQ21" s="1" t="n">
        <v>200</v>
      </c>
      <c r="AR21" s="1" t="n">
        <v>0</v>
      </c>
      <c r="AS21" s="43" t="n">
        <f aca="false">IF(AP21="",0,N(AN21)+N(AO21)*$AV$7)</f>
        <v>593</v>
      </c>
      <c r="AT21" s="43" t="n">
        <f aca="false">IF(AP21="",0,N(AQ21)+N(AR21)*$AV$7)</f>
        <v>200</v>
      </c>
      <c r="AU21" s="1"/>
      <c r="AV21" s="1"/>
      <c r="AW21" s="1"/>
      <c r="AX21" s="1"/>
      <c r="AY21" s="1"/>
    </row>
    <row r="22" customFormat="false" ht="30" hidden="false" customHeight="true" outlineLevel="0" collapsed="false">
      <c r="A22" s="1"/>
      <c r="B22" s="79" t="s">
        <v>146</v>
      </c>
      <c r="C22" s="79"/>
      <c r="D22" s="79"/>
      <c r="E22" s="80" t="s">
        <v>147</v>
      </c>
      <c r="F22" s="80"/>
      <c r="G22" s="80"/>
      <c r="H22" s="80"/>
      <c r="I22" s="80"/>
      <c r="J22" s="81" t="n">
        <f aca="false">IF(OR(INDEX($B:$B,22)="",AP22="",N(INDEX(Dashboard!$D:$D,9))=0),0,IF(AP22=0,0.05*INDEX(Dashboard!$D:$D,9),IF(AP22=1,$AV$11,$AV$12)*AS22))</f>
        <v>0</v>
      </c>
      <c r="K22" s="82"/>
      <c r="L22" s="82"/>
      <c r="M22" s="82"/>
      <c r="N22" s="83"/>
      <c r="O22" s="84" t="str">
        <f>""</f>
        <v/>
      </c>
      <c r="P22" s="84"/>
      <c r="Q22" s="84"/>
      <c r="R22" s="85" t="str">
        <f aca="false">IF(INDEX($B:$B,22)="","",IF(AND(INDEX($M:$M,22)="",N(O22)=0),"",N(INDEX($M:$M,22))*IF(INDEX($N:$N,22)="+ VAT",1.2,1)+N(O22)))</f>
        <v/>
      </c>
      <c r="S22" s="85"/>
      <c r="T22" s="84" t="str">
        <f>""</f>
        <v/>
      </c>
      <c r="U22" s="84"/>
      <c r="V22" s="84"/>
      <c r="W22" s="85" t="str">
        <f aca="false">IF(R22="","",R22-N(T22))</f>
        <v/>
      </c>
      <c r="X22" s="85" t="str">
        <f aca="false">IF(R22="","",IF(INDEX($K:$K,22)&lt;&gt;"",INDEX($K:$K,22),J22)-R22)</f>
        <v/>
      </c>
      <c r="Y22" s="79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88" t="n">
        <f aca="false">IF(INDEX($B:$B,22)="","",IF(INDEX($K:$K,22)&lt;&gt;"",INDEX($K:$K,22),J22))</f>
        <v>0</v>
      </c>
      <c r="AN22" s="1" t="n">
        <v>844</v>
      </c>
      <c r="AO22" s="1" t="n">
        <v>0</v>
      </c>
      <c r="AP22" s="1" t="n">
        <v>3</v>
      </c>
      <c r="AQ22" s="1" t="n">
        <v>100</v>
      </c>
      <c r="AR22" s="1" t="n">
        <v>0</v>
      </c>
      <c r="AS22" s="43" t="n">
        <f aca="false">IF(AP22="",0,N(AN22)+N(AO22)*$AV$7)</f>
        <v>844</v>
      </c>
      <c r="AT22" s="43" t="n">
        <f aca="false">IF(AP22="",0,N(AQ22)+N(AR22)*$AV$7)</f>
        <v>100</v>
      </c>
      <c r="AU22" s="1"/>
      <c r="AV22" s="1"/>
      <c r="AW22" s="1"/>
      <c r="AX22" s="1"/>
      <c r="AY22" s="1"/>
    </row>
    <row r="23" customFormat="false" ht="30" hidden="false" customHeight="true" outlineLevel="0" collapsed="false">
      <c r="A23" s="1"/>
      <c r="B23" s="79" t="s">
        <v>148</v>
      </c>
      <c r="C23" s="79"/>
      <c r="D23" s="79"/>
      <c r="E23" s="80" t="s">
        <v>149</v>
      </c>
      <c r="F23" s="80"/>
      <c r="G23" s="80"/>
      <c r="H23" s="80"/>
      <c r="I23" s="80"/>
      <c r="J23" s="81" t="n">
        <f aca="false">IF(OR(INDEX($B:$B,23)="",AP23="",N(INDEX(Dashboard!$D:$D,9))=0),0,IF(AP23=0,0.05*INDEX(Dashboard!$D:$D,9),IF(AP23=1,$AV$11,$AV$12)*AS23))</f>
        <v>0</v>
      </c>
      <c r="K23" s="82"/>
      <c r="L23" s="82"/>
      <c r="M23" s="82"/>
      <c r="N23" s="83"/>
      <c r="O23" s="84" t="str">
        <f>""</f>
        <v/>
      </c>
      <c r="P23" s="84"/>
      <c r="Q23" s="84"/>
      <c r="R23" s="85" t="str">
        <f aca="false">IF(INDEX($B:$B,23)="","",IF(AND(INDEX($M:$M,23)="",N(O23)=0),"",N(INDEX($M:$M,23))*IF(INDEX($N:$N,23)="+ VAT",1.2,1)+N(O23)))</f>
        <v/>
      </c>
      <c r="S23" s="85"/>
      <c r="T23" s="84" t="str">
        <f>""</f>
        <v/>
      </c>
      <c r="U23" s="84"/>
      <c r="V23" s="84"/>
      <c r="W23" s="85" t="str">
        <f aca="false">IF(R23="","",R23-N(T23))</f>
        <v/>
      </c>
      <c r="X23" s="85" t="str">
        <f aca="false">IF(R23="","",IF(INDEX($K:$K,23)&lt;&gt;"",INDEX($K:$K,23),J23)-R23)</f>
        <v/>
      </c>
      <c r="Y23" s="79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88" t="n">
        <f aca="false">IF(INDEX($B:$B,23)="","",IF(INDEX($K:$K,23)&lt;&gt;"",INDEX($K:$K,23),J23))</f>
        <v>0</v>
      </c>
      <c r="AN23" s="1" t="n">
        <v>100</v>
      </c>
      <c r="AO23" s="1" t="n">
        <v>3</v>
      </c>
      <c r="AP23" s="1" t="n">
        <v>1</v>
      </c>
      <c r="AQ23" s="1" t="n">
        <v>0</v>
      </c>
      <c r="AR23" s="1" t="n">
        <v>1</v>
      </c>
      <c r="AS23" s="43" t="n">
        <f aca="false">IF(AP23="",0,N(AN23)+N(AO23)*$AV$7)</f>
        <v>400</v>
      </c>
      <c r="AT23" s="43" t="n">
        <f aca="false">IF(AP23="",0,N(AQ23)+N(AR23)*$AV$7)</f>
        <v>100</v>
      </c>
      <c r="AU23" s="1"/>
      <c r="AV23" s="1"/>
      <c r="AW23" s="1"/>
      <c r="AX23" s="1"/>
      <c r="AY23" s="1"/>
    </row>
    <row r="24" customFormat="false" ht="30" hidden="false" customHeight="true" outlineLevel="0" collapsed="false">
      <c r="A24" s="1"/>
      <c r="B24" s="79" t="s">
        <v>150</v>
      </c>
      <c r="C24" s="79"/>
      <c r="D24" s="79"/>
      <c r="E24" s="80" t="s">
        <v>151</v>
      </c>
      <c r="F24" s="80"/>
      <c r="G24" s="80"/>
      <c r="H24" s="80"/>
      <c r="I24" s="80"/>
      <c r="J24" s="81" t="n">
        <f aca="false">IF(OR(INDEX($B:$B,24)="",AP24="",N(INDEX(Dashboard!$D:$D,9))=0),0,IF(AP24=0,0.05*INDEX(Dashboard!$D:$D,9),IF(AP24=1,$AV$11,$AV$12)*AS24))</f>
        <v>0</v>
      </c>
      <c r="K24" s="82"/>
      <c r="L24" s="82"/>
      <c r="M24" s="82"/>
      <c r="N24" s="83"/>
      <c r="O24" s="84" t="str">
        <f>""</f>
        <v/>
      </c>
      <c r="P24" s="84"/>
      <c r="Q24" s="84"/>
      <c r="R24" s="85" t="str">
        <f aca="false">IF(INDEX($B:$B,24)="","",IF(AND(INDEX($M:$M,24)="",N(O24)=0),"",N(INDEX($M:$M,24))*IF(INDEX($N:$N,24)="+ VAT",1.2,1)+N(O24)))</f>
        <v/>
      </c>
      <c r="S24" s="85"/>
      <c r="T24" s="84" t="str">
        <f>""</f>
        <v/>
      </c>
      <c r="U24" s="84"/>
      <c r="V24" s="84"/>
      <c r="W24" s="85" t="str">
        <f aca="false">IF(R24="","",R24-N(T24))</f>
        <v/>
      </c>
      <c r="X24" s="85" t="str">
        <f aca="false">IF(R24="","",IF(INDEX($K:$K,24)&lt;&gt;"",INDEX($K:$K,24),J24)-R24)</f>
        <v/>
      </c>
      <c r="Y24" s="79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88" t="n">
        <f aca="false">IF(INDEX($B:$B,24)="","",IF(INDEX($K:$K,24)&lt;&gt;"",INDEX($K:$K,24),J24))</f>
        <v>0</v>
      </c>
      <c r="AN24" s="1" t="n">
        <v>250</v>
      </c>
      <c r="AO24" s="1" t="n">
        <v>0</v>
      </c>
      <c r="AP24" s="1" t="n">
        <v>3</v>
      </c>
      <c r="AQ24" s="1" t="n">
        <v>0</v>
      </c>
      <c r="AR24" s="1" t="n">
        <v>0</v>
      </c>
      <c r="AS24" s="43" t="n">
        <f aca="false">IF(AP24="",0,N(AN24)+N(AO24)*$AV$7)</f>
        <v>250</v>
      </c>
      <c r="AT24" s="43" t="n">
        <f aca="false">IF(AP24="",0,N(AQ24)+N(AR24)*$AV$7)</f>
        <v>0</v>
      </c>
      <c r="AU24" s="1"/>
      <c r="AV24" s="1"/>
      <c r="AW24" s="1"/>
      <c r="AX24" s="1"/>
      <c r="AY24" s="1"/>
    </row>
    <row r="25" customFormat="false" ht="30" hidden="false" customHeight="true" outlineLevel="0" collapsed="false">
      <c r="A25" s="1"/>
      <c r="B25" s="79" t="s">
        <v>152</v>
      </c>
      <c r="C25" s="79"/>
      <c r="D25" s="79"/>
      <c r="E25" s="80" t="s">
        <v>153</v>
      </c>
      <c r="F25" s="80"/>
      <c r="G25" s="80"/>
      <c r="H25" s="80"/>
      <c r="I25" s="80"/>
      <c r="J25" s="81" t="n">
        <f aca="false">IF(OR(INDEX($B:$B,25)="",AP25="",N(INDEX(Dashboard!$D:$D,9))=0),0,IF(AP25=0,0.05*INDEX(Dashboard!$D:$D,9),IF(AP25=1,$AV$11,$AV$12)*AS25))</f>
        <v>0</v>
      </c>
      <c r="K25" s="82"/>
      <c r="L25" s="82"/>
      <c r="M25" s="82"/>
      <c r="N25" s="83"/>
      <c r="O25" s="84" t="str">
        <f>""</f>
        <v/>
      </c>
      <c r="P25" s="84"/>
      <c r="Q25" s="84"/>
      <c r="R25" s="85" t="str">
        <f aca="false">IF(INDEX($B:$B,25)="","",IF(AND(INDEX($M:$M,25)="",N(O25)=0),"",N(INDEX($M:$M,25))*IF(INDEX($N:$N,25)="+ VAT",1.2,1)+N(O25)))</f>
        <v/>
      </c>
      <c r="S25" s="85"/>
      <c r="T25" s="84" t="str">
        <f>""</f>
        <v/>
      </c>
      <c r="U25" s="84"/>
      <c r="V25" s="84"/>
      <c r="W25" s="85" t="str">
        <f aca="false">IF(R25="","",R25-N(T25))</f>
        <v/>
      </c>
      <c r="X25" s="85" t="str">
        <f aca="false">IF(R25="","",IF(INDEX($K:$K,25)&lt;&gt;"",INDEX($K:$K,25),J25)-R25)</f>
        <v/>
      </c>
      <c r="Y25" s="79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88" t="n">
        <f aca="false">IF(INDEX($B:$B,25)="","",IF(INDEX($K:$K,25)&lt;&gt;"",INDEX($K:$K,25),J25))</f>
        <v>0</v>
      </c>
      <c r="AN25" s="1" t="n">
        <v>0</v>
      </c>
      <c r="AO25" s="1" t="n">
        <v>12</v>
      </c>
      <c r="AP25" s="1" t="n">
        <v>3</v>
      </c>
      <c r="AQ25" s="1" t="n">
        <v>0</v>
      </c>
      <c r="AR25" s="1" t="n">
        <v>0</v>
      </c>
      <c r="AS25" s="43" t="n">
        <f aca="false">IF(AP25="",0,N(AN25)+N(AO25)*$AV$7)</f>
        <v>1200</v>
      </c>
      <c r="AT25" s="43" t="n">
        <f aca="false">IF(AP25="",0,N(AQ25)+N(AR25)*$AV$7)</f>
        <v>0</v>
      </c>
      <c r="AU25" s="1"/>
      <c r="AV25" s="1"/>
      <c r="AW25" s="1"/>
      <c r="AX25" s="1"/>
      <c r="AY25" s="1"/>
    </row>
    <row r="26" customFormat="false" ht="30" hidden="false" customHeight="true" outlineLevel="0" collapsed="false">
      <c r="A26" s="1"/>
      <c r="B26" s="79" t="s">
        <v>154</v>
      </c>
      <c r="C26" s="79"/>
      <c r="D26" s="79"/>
      <c r="E26" s="80" t="s">
        <v>155</v>
      </c>
      <c r="F26" s="80"/>
      <c r="G26" s="80"/>
      <c r="H26" s="80"/>
      <c r="I26" s="80"/>
      <c r="J26" s="81" t="n">
        <f aca="false">IF(OR(INDEX($B:$B,26)="",AP26="",N(INDEX(Dashboard!$D:$D,9))=0),0,IF(AP26=0,0.05*INDEX(Dashboard!$D:$D,9),IF(AP26=1,$AV$11,$AV$12)*AS26))</f>
        <v>0</v>
      </c>
      <c r="K26" s="82"/>
      <c r="L26" s="82"/>
      <c r="M26" s="82"/>
      <c r="N26" s="83"/>
      <c r="O26" s="84" t="str">
        <f>""</f>
        <v/>
      </c>
      <c r="P26" s="84"/>
      <c r="Q26" s="84"/>
      <c r="R26" s="85" t="str">
        <f aca="false">IF(INDEX($B:$B,26)="","",IF(AND(INDEX($M:$M,26)="",N(O26)=0),"",N(INDEX($M:$M,26))*IF(INDEX($N:$N,26)="+ VAT",1.2,1)+N(O26)))</f>
        <v/>
      </c>
      <c r="S26" s="85"/>
      <c r="T26" s="84" t="str">
        <f>""</f>
        <v/>
      </c>
      <c r="U26" s="84"/>
      <c r="V26" s="84"/>
      <c r="W26" s="85" t="str">
        <f aca="false">IF(R26="","",R26-N(T26))</f>
        <v/>
      </c>
      <c r="X26" s="85" t="str">
        <f aca="false">IF(R26="","",IF(INDEX($K:$K,26)&lt;&gt;"",INDEX($K:$K,26),J26)-R26)</f>
        <v/>
      </c>
      <c r="Y26" s="79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88" t="n">
        <f aca="false">IF(INDEX($B:$B,26)="","",IF(INDEX($K:$K,26)&lt;&gt;"",INDEX($K:$K,26),J26))</f>
        <v>0</v>
      </c>
      <c r="AN26" s="1" t="n">
        <v>4000</v>
      </c>
      <c r="AO26" s="1" t="n">
        <v>0</v>
      </c>
      <c r="AP26" s="1" t="n">
        <v>3</v>
      </c>
      <c r="AQ26" s="1" t="n">
        <v>0</v>
      </c>
      <c r="AR26" s="1" t="n">
        <v>0</v>
      </c>
      <c r="AS26" s="43" t="n">
        <f aca="false">IF(AP26="",0,N(AN26)+N(AO26)*$AV$7)</f>
        <v>4000</v>
      </c>
      <c r="AT26" s="43" t="n">
        <f aca="false">IF(AP26="",0,N(AQ26)+N(AR26)*$AV$7)</f>
        <v>0</v>
      </c>
      <c r="AU26" s="1"/>
      <c r="AV26" s="1"/>
      <c r="AW26" s="1"/>
      <c r="AX26" s="1"/>
      <c r="AY26" s="1"/>
    </row>
    <row r="27" customFormat="false" ht="30" hidden="false" customHeight="true" outlineLevel="0" collapsed="false">
      <c r="A27" s="1"/>
      <c r="B27" s="79" t="s">
        <v>156</v>
      </c>
      <c r="C27" s="79"/>
      <c r="D27" s="79"/>
      <c r="E27" s="80" t="s">
        <v>157</v>
      </c>
      <c r="F27" s="80"/>
      <c r="G27" s="80"/>
      <c r="H27" s="80"/>
      <c r="I27" s="80"/>
      <c r="J27" s="81" t="n">
        <f aca="false">IF(OR(INDEX($B:$B,27)="",AP27="",N(INDEX(Dashboard!$D:$D,9))=0),0,IF(AP27=0,0.05*INDEX(Dashboard!$D:$D,9),IF(AP27=1,$AV$11,$AV$12)*AS27))</f>
        <v>0</v>
      </c>
      <c r="K27" s="82"/>
      <c r="L27" s="82"/>
      <c r="M27" s="82"/>
      <c r="N27" s="83"/>
      <c r="O27" s="84" t="str">
        <f>""</f>
        <v/>
      </c>
      <c r="P27" s="84"/>
      <c r="Q27" s="84"/>
      <c r="R27" s="85" t="str">
        <f aca="false">IF(INDEX($B:$B,27)="","",IF(AND(INDEX($M:$M,27)="",N(O27)=0),"",N(INDEX($M:$M,27))*IF(INDEX($N:$N,27)="+ VAT",1.2,1)+N(O27)))</f>
        <v/>
      </c>
      <c r="S27" s="85"/>
      <c r="T27" s="84" t="str">
        <f>""</f>
        <v/>
      </c>
      <c r="U27" s="84"/>
      <c r="V27" s="84"/>
      <c r="W27" s="85" t="str">
        <f aca="false">IF(R27="","",R27-N(T27))</f>
        <v/>
      </c>
      <c r="X27" s="85" t="str">
        <f aca="false">IF(R27="","",IF(INDEX($K:$K,27)&lt;&gt;"",INDEX($K:$K,27),J27)-R27)</f>
        <v/>
      </c>
      <c r="Y27" s="79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88" t="n">
        <f aca="false">IF(INDEX($B:$B,27)="","",IF(INDEX($K:$K,27)&lt;&gt;"",INDEX($K:$K,27),J27))</f>
        <v>0</v>
      </c>
      <c r="AN27" s="1" t="n">
        <v>0</v>
      </c>
      <c r="AO27" s="1" t="n">
        <v>0</v>
      </c>
      <c r="AP27" s="1" t="n">
        <v>0</v>
      </c>
      <c r="AQ27" s="1" t="n">
        <v>0</v>
      </c>
      <c r="AR27" s="1" t="n">
        <v>0</v>
      </c>
      <c r="AS27" s="43" t="n">
        <f aca="false">IF(AP27="",0,N(AN27)+N(AO27)*$AV$7)</f>
        <v>0</v>
      </c>
      <c r="AT27" s="43" t="n">
        <f aca="false">IF(AP27="",0,N(AQ27)+N(AR27)*$AV$7)</f>
        <v>0</v>
      </c>
      <c r="AU27" s="1"/>
      <c r="AV27" s="1"/>
      <c r="AW27" s="1"/>
      <c r="AX27" s="1"/>
      <c r="AY27" s="1"/>
    </row>
    <row r="28" customFormat="false" ht="30" hidden="false" customHeight="true" outlineLevel="0" collapsed="false">
      <c r="A28" s="1"/>
      <c r="B28" s="79"/>
      <c r="C28" s="79"/>
      <c r="D28" s="79"/>
      <c r="E28" s="80"/>
      <c r="F28" s="80"/>
      <c r="G28" s="80"/>
      <c r="H28" s="80"/>
      <c r="I28" s="80"/>
      <c r="J28" s="81" t="n">
        <f aca="false">IF(OR(INDEX($B:$B,28)="",AP28="",N(INDEX(Dashboard!$D:$D,9))=0),0,IF(AP28=0,0.05*INDEX(Dashboard!$D:$D,9),IF(AP28=1,$AV$11,$AV$12)*AS28))</f>
        <v>0</v>
      </c>
      <c r="K28" s="82"/>
      <c r="L28" s="82"/>
      <c r="M28" s="82"/>
      <c r="N28" s="83"/>
      <c r="O28" s="84" t="str">
        <f>""</f>
        <v/>
      </c>
      <c r="P28" s="84"/>
      <c r="Q28" s="84"/>
      <c r="R28" s="85" t="str">
        <f aca="false">IF(INDEX($B:$B,28)="","",IF(AND(INDEX($M:$M,28)="",N(O28)=0),"",N(INDEX($M:$M,28))*IF(INDEX($N:$N,28)="+ VAT",1.2,1)+N(O28)))</f>
        <v/>
      </c>
      <c r="S28" s="85"/>
      <c r="T28" s="84" t="str">
        <f>""</f>
        <v/>
      </c>
      <c r="U28" s="84"/>
      <c r="V28" s="84"/>
      <c r="W28" s="85" t="str">
        <f aca="false">IF(R28="","",R28-N(T28))</f>
        <v/>
      </c>
      <c r="X28" s="85" t="str">
        <f aca="false">IF(R28="","",IF(INDEX($K:$K,28)&lt;&gt;"",INDEX($K:$K,28),J28)-R28)</f>
        <v/>
      </c>
      <c r="Y28" s="79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95" t="str">
        <f aca="false">IF(INDEX($B:$B,28)="","",IF(INDEX($K:$K,28)&lt;&gt;"",INDEX($K:$K,28),J28))</f>
        <v/>
      </c>
      <c r="AN28" s="1"/>
      <c r="AO28" s="1"/>
      <c r="AP28" s="1"/>
      <c r="AQ28" s="1"/>
      <c r="AR28" s="1"/>
      <c r="AS28" s="43" t="n">
        <f aca="false">IF(AP28="",0,N(AN28)+N(AO28)*$AV$7)</f>
        <v>0</v>
      </c>
      <c r="AT28" s="43" t="n">
        <f aca="false">IF(AP28="",0,N(AQ28)+N(AR28)*$AV$7)</f>
        <v>0</v>
      </c>
      <c r="AU28" s="1"/>
      <c r="AV28" s="1"/>
      <c r="AW28" s="1"/>
      <c r="AX28" s="1"/>
      <c r="AY28" s="1"/>
    </row>
    <row r="29" customFormat="false" ht="30" hidden="false" customHeight="true" outlineLevel="0" collapsed="false">
      <c r="A29" s="1"/>
      <c r="B29" s="79"/>
      <c r="C29" s="79"/>
      <c r="D29" s="79"/>
      <c r="E29" s="80"/>
      <c r="F29" s="80"/>
      <c r="G29" s="80"/>
      <c r="H29" s="80"/>
      <c r="I29" s="80"/>
      <c r="J29" s="81" t="n">
        <f aca="false">IF(OR(INDEX($B:$B,29)="",AP29="",N(INDEX(Dashboard!$D:$D,9))=0),0,IF(AP29=0,0.05*INDEX(Dashboard!$D:$D,9),IF(AP29=1,$AV$11,$AV$12)*AS29))</f>
        <v>0</v>
      </c>
      <c r="K29" s="82"/>
      <c r="L29" s="82"/>
      <c r="M29" s="82"/>
      <c r="N29" s="83"/>
      <c r="O29" s="84" t="str">
        <f>""</f>
        <v/>
      </c>
      <c r="P29" s="84"/>
      <c r="Q29" s="84"/>
      <c r="R29" s="85" t="str">
        <f aca="false">IF(INDEX($B:$B,29)="","",IF(AND(INDEX($M:$M,29)="",N(O29)=0),"",N(INDEX($M:$M,29))*IF(INDEX($N:$N,29)="+ VAT",1.2,1)+N(O29)))</f>
        <v/>
      </c>
      <c r="S29" s="85"/>
      <c r="T29" s="84" t="str">
        <f>""</f>
        <v/>
      </c>
      <c r="U29" s="84"/>
      <c r="V29" s="84"/>
      <c r="W29" s="85" t="str">
        <f aca="false">IF(R29="","",R29-N(T29))</f>
        <v/>
      </c>
      <c r="X29" s="85" t="str">
        <f aca="false">IF(R29="","",IF(INDEX($K:$K,29)&lt;&gt;"",INDEX($K:$K,29),J29)-R29)</f>
        <v/>
      </c>
      <c r="Y29" s="79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95" t="str">
        <f aca="false">IF(INDEX($B:$B,29)="","",IF(INDEX($K:$K,29)&lt;&gt;"",INDEX($K:$K,29),J29))</f>
        <v/>
      </c>
      <c r="AN29" s="1"/>
      <c r="AO29" s="1"/>
      <c r="AP29" s="1"/>
      <c r="AQ29" s="1"/>
      <c r="AR29" s="1"/>
      <c r="AS29" s="43" t="n">
        <f aca="false">IF(AP29="",0,N(AN29)+N(AO29)*$AV$7)</f>
        <v>0</v>
      </c>
      <c r="AT29" s="43" t="n">
        <f aca="false">IF(AP29="",0,N(AQ29)+N(AR29)*$AV$7)</f>
        <v>0</v>
      </c>
      <c r="AU29" s="1"/>
      <c r="AV29" s="1"/>
      <c r="AW29" s="1"/>
      <c r="AX29" s="1"/>
      <c r="AY29" s="1"/>
    </row>
    <row r="30" customFormat="false" ht="30" hidden="false" customHeight="true" outlineLevel="0" collapsed="false">
      <c r="A30" s="1"/>
      <c r="B30" s="79"/>
      <c r="C30" s="79"/>
      <c r="D30" s="79"/>
      <c r="E30" s="80"/>
      <c r="F30" s="80"/>
      <c r="G30" s="80"/>
      <c r="H30" s="80"/>
      <c r="I30" s="80"/>
      <c r="J30" s="81" t="n">
        <f aca="false">IF(OR(INDEX($B:$B,30)="",AP30="",N(INDEX(Dashboard!$D:$D,9))=0),0,IF(AP30=0,0.05*INDEX(Dashboard!$D:$D,9),IF(AP30=1,$AV$11,$AV$12)*AS30))</f>
        <v>0</v>
      </c>
      <c r="K30" s="82"/>
      <c r="L30" s="82"/>
      <c r="M30" s="82"/>
      <c r="N30" s="83"/>
      <c r="O30" s="84" t="str">
        <f>""</f>
        <v/>
      </c>
      <c r="P30" s="84"/>
      <c r="Q30" s="84"/>
      <c r="R30" s="85" t="str">
        <f aca="false">IF(INDEX($B:$B,30)="","",IF(AND(INDEX($M:$M,30)="",N(O30)=0),"",N(INDEX($M:$M,30))*IF(INDEX($N:$N,30)="+ VAT",1.2,1)+N(O30)))</f>
        <v/>
      </c>
      <c r="S30" s="85"/>
      <c r="T30" s="84" t="str">
        <f>""</f>
        <v/>
      </c>
      <c r="U30" s="84"/>
      <c r="V30" s="84"/>
      <c r="W30" s="85" t="str">
        <f aca="false">IF(R30="","",R30-N(T30))</f>
        <v/>
      </c>
      <c r="X30" s="85" t="str">
        <f aca="false">IF(R30="","",IF(INDEX($K:$K,30)&lt;&gt;"",INDEX($K:$K,30),J30)-R30)</f>
        <v/>
      </c>
      <c r="Y30" s="79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95" t="str">
        <f aca="false">IF(INDEX($B:$B,30)="","",IF(INDEX($K:$K,30)&lt;&gt;"",INDEX($K:$K,30),J30))</f>
        <v/>
      </c>
      <c r="AN30" s="1"/>
      <c r="AO30" s="1"/>
      <c r="AP30" s="1"/>
      <c r="AQ30" s="1"/>
      <c r="AR30" s="1"/>
      <c r="AS30" s="43" t="n">
        <f aca="false">IF(AP30="",0,N(AN30)+N(AO30)*$AV$7)</f>
        <v>0</v>
      </c>
      <c r="AT30" s="43" t="n">
        <f aca="false">IF(AP30="",0,N(AQ30)+N(AR30)*$AV$7)</f>
        <v>0</v>
      </c>
      <c r="AU30" s="1"/>
      <c r="AV30" s="1"/>
      <c r="AW30" s="1"/>
      <c r="AX30" s="1"/>
      <c r="AY30" s="1"/>
    </row>
    <row r="31" customFormat="false" ht="30" hidden="false" customHeight="true" outlineLevel="0" collapsed="false">
      <c r="A31" s="1"/>
      <c r="B31" s="79"/>
      <c r="C31" s="79"/>
      <c r="D31" s="79"/>
      <c r="E31" s="80"/>
      <c r="F31" s="80"/>
      <c r="G31" s="80"/>
      <c r="H31" s="80"/>
      <c r="I31" s="80"/>
      <c r="J31" s="81" t="n">
        <f aca="false">IF(OR(INDEX($B:$B,31)="",AP31="",N(INDEX(Dashboard!$D:$D,9))=0),0,IF(AP31=0,0.05*INDEX(Dashboard!$D:$D,9),IF(AP31=1,$AV$11,$AV$12)*AS31))</f>
        <v>0</v>
      </c>
      <c r="K31" s="82"/>
      <c r="L31" s="82"/>
      <c r="M31" s="82"/>
      <c r="N31" s="83"/>
      <c r="O31" s="84" t="str">
        <f>""</f>
        <v/>
      </c>
      <c r="P31" s="84"/>
      <c r="Q31" s="84"/>
      <c r="R31" s="85" t="str">
        <f aca="false">IF(INDEX($B:$B,31)="","",IF(AND(INDEX($M:$M,31)="",N(O31)=0),"",N(INDEX($M:$M,31))*IF(INDEX($N:$N,31)="+ VAT",1.2,1)+N(O31)))</f>
        <v/>
      </c>
      <c r="S31" s="85"/>
      <c r="T31" s="84" t="str">
        <f>""</f>
        <v/>
      </c>
      <c r="U31" s="84"/>
      <c r="V31" s="84"/>
      <c r="W31" s="85" t="str">
        <f aca="false">IF(R31="","",R31-N(T31))</f>
        <v/>
      </c>
      <c r="X31" s="85" t="str">
        <f aca="false">IF(R31="","",IF(INDEX($K:$K,31)&lt;&gt;"",INDEX($K:$K,31),J31)-R31)</f>
        <v/>
      </c>
      <c r="Y31" s="79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95" t="str">
        <f aca="false">IF(INDEX($B:$B,31)="","",IF(INDEX($K:$K,31)&lt;&gt;"",INDEX($K:$K,31),J31))</f>
        <v/>
      </c>
      <c r="AN31" s="1"/>
      <c r="AO31" s="1"/>
      <c r="AP31" s="1"/>
      <c r="AQ31" s="1"/>
      <c r="AR31" s="1"/>
      <c r="AS31" s="43" t="n">
        <f aca="false">IF(AP31="",0,N(AN31)+N(AO31)*$AV$7)</f>
        <v>0</v>
      </c>
      <c r="AT31" s="43" t="n">
        <f aca="false">IF(AP31="",0,N(AQ31)+N(AR31)*$AV$7)</f>
        <v>0</v>
      </c>
      <c r="AU31" s="1"/>
      <c r="AV31" s="1"/>
      <c r="AW31" s="1"/>
      <c r="AX31" s="1"/>
      <c r="AY31" s="1"/>
    </row>
    <row r="32" customFormat="false" ht="30" hidden="false" customHeight="true" outlineLevel="0" collapsed="false">
      <c r="A32" s="1"/>
      <c r="B32" s="79"/>
      <c r="C32" s="79"/>
      <c r="D32" s="79"/>
      <c r="E32" s="80"/>
      <c r="F32" s="80"/>
      <c r="G32" s="80"/>
      <c r="H32" s="80"/>
      <c r="I32" s="80"/>
      <c r="J32" s="81" t="n">
        <f aca="false">IF(OR(INDEX($B:$B,32)="",AP32="",N(INDEX(Dashboard!$D:$D,9))=0),0,IF(AP32=0,0.05*INDEX(Dashboard!$D:$D,9),IF(AP32=1,$AV$11,$AV$12)*AS32))</f>
        <v>0</v>
      </c>
      <c r="K32" s="82"/>
      <c r="L32" s="82"/>
      <c r="M32" s="82"/>
      <c r="N32" s="83"/>
      <c r="O32" s="84" t="str">
        <f>""</f>
        <v/>
      </c>
      <c r="P32" s="84"/>
      <c r="Q32" s="84"/>
      <c r="R32" s="85" t="str">
        <f aca="false">IF(INDEX($B:$B,32)="","",IF(AND(INDEX($M:$M,32)="",N(O32)=0),"",N(INDEX($M:$M,32))*IF(INDEX($N:$N,32)="+ VAT",1.2,1)+N(O32)))</f>
        <v/>
      </c>
      <c r="S32" s="85"/>
      <c r="T32" s="84" t="str">
        <f>""</f>
        <v/>
      </c>
      <c r="U32" s="84"/>
      <c r="V32" s="84"/>
      <c r="W32" s="85" t="str">
        <f aca="false">IF(R32="","",R32-N(T32))</f>
        <v/>
      </c>
      <c r="X32" s="85" t="str">
        <f aca="false">IF(R32="","",IF(INDEX($K:$K,32)&lt;&gt;"",INDEX($K:$K,32),J32)-R32)</f>
        <v/>
      </c>
      <c r="Y32" s="79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95" t="str">
        <f aca="false">IF(INDEX($B:$B,32)="","",IF(INDEX($K:$K,32)&lt;&gt;"",INDEX($K:$K,32),J32))</f>
        <v/>
      </c>
      <c r="AN32" s="1"/>
      <c r="AO32" s="1"/>
      <c r="AP32" s="1"/>
      <c r="AQ32" s="1"/>
      <c r="AR32" s="1"/>
      <c r="AS32" s="43" t="n">
        <f aca="false">IF(AP32="",0,N(AN32)+N(AO32)*$AV$7)</f>
        <v>0</v>
      </c>
      <c r="AT32" s="43" t="n">
        <f aca="false">IF(AP32="",0,N(AQ32)+N(AR32)*$AV$7)</f>
        <v>0</v>
      </c>
      <c r="AU32" s="1"/>
      <c r="AV32" s="1"/>
      <c r="AW32" s="1"/>
      <c r="AX32" s="1"/>
      <c r="AY32" s="1"/>
    </row>
    <row r="33" customFormat="false" ht="30" hidden="false" customHeight="true" outlineLevel="0" collapsed="false">
      <c r="A33" s="1"/>
      <c r="B33" s="79"/>
      <c r="C33" s="79"/>
      <c r="D33" s="79"/>
      <c r="E33" s="80"/>
      <c r="F33" s="80"/>
      <c r="G33" s="80"/>
      <c r="H33" s="80"/>
      <c r="I33" s="80"/>
      <c r="J33" s="81" t="n">
        <f aca="false">IF(OR(INDEX($B:$B,33)="",AP33="",N(INDEX(Dashboard!$D:$D,9))=0),0,IF(AP33=0,0.05*INDEX(Dashboard!$D:$D,9),IF(AP33=1,$AV$11,$AV$12)*AS33))</f>
        <v>0</v>
      </c>
      <c r="K33" s="82"/>
      <c r="L33" s="82"/>
      <c r="M33" s="82"/>
      <c r="N33" s="83"/>
      <c r="O33" s="84" t="str">
        <f>""</f>
        <v/>
      </c>
      <c r="P33" s="84"/>
      <c r="Q33" s="84"/>
      <c r="R33" s="85" t="str">
        <f aca="false">IF(INDEX($B:$B,33)="","",IF(AND(INDEX($M:$M,33)="",N(O33)=0),"",N(INDEX($M:$M,33))*IF(INDEX($N:$N,33)="+ VAT",1.2,1)+N(O33)))</f>
        <v/>
      </c>
      <c r="S33" s="85"/>
      <c r="T33" s="84" t="str">
        <f>""</f>
        <v/>
      </c>
      <c r="U33" s="84"/>
      <c r="V33" s="84"/>
      <c r="W33" s="85" t="str">
        <f aca="false">IF(R33="","",R33-N(T33))</f>
        <v/>
      </c>
      <c r="X33" s="85" t="str">
        <f aca="false">IF(R33="","",IF(INDEX($K:$K,33)&lt;&gt;"",INDEX($K:$K,33),J33)-R33)</f>
        <v/>
      </c>
      <c r="Y33" s="79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95" t="str">
        <f aca="false">IF(INDEX($B:$B,33)="","",IF(INDEX($K:$K,33)&lt;&gt;"",INDEX($K:$K,33),J33))</f>
        <v/>
      </c>
      <c r="AN33" s="1"/>
      <c r="AO33" s="1"/>
      <c r="AP33" s="1"/>
      <c r="AQ33" s="1"/>
      <c r="AR33" s="1"/>
      <c r="AS33" s="43" t="n">
        <f aca="false">IF(AP33="",0,N(AN33)+N(AO33)*$AV$7)</f>
        <v>0</v>
      </c>
      <c r="AT33" s="43" t="n">
        <f aca="false">IF(AP33="",0,N(AQ33)+N(AR33)*$AV$7)</f>
        <v>0</v>
      </c>
      <c r="AU33" s="1"/>
      <c r="AV33" s="1"/>
      <c r="AW33" s="1"/>
      <c r="AX33" s="1"/>
      <c r="AY33" s="1"/>
    </row>
    <row r="34" customFormat="false" ht="30" hidden="false" customHeight="true" outlineLevel="0" collapsed="false">
      <c r="A34" s="1"/>
      <c r="B34" s="79"/>
      <c r="C34" s="79"/>
      <c r="D34" s="79"/>
      <c r="E34" s="80"/>
      <c r="F34" s="80"/>
      <c r="G34" s="80"/>
      <c r="H34" s="80"/>
      <c r="I34" s="80"/>
      <c r="J34" s="81" t="n">
        <f aca="false">IF(OR(INDEX($B:$B,34)="",AP34="",N(INDEX(Dashboard!$D:$D,9))=0),0,IF(AP34=0,0.05*INDEX(Dashboard!$D:$D,9),IF(AP34=1,$AV$11,$AV$12)*AS34))</f>
        <v>0</v>
      </c>
      <c r="K34" s="82"/>
      <c r="L34" s="82"/>
      <c r="M34" s="82"/>
      <c r="N34" s="83"/>
      <c r="O34" s="84" t="str">
        <f>""</f>
        <v/>
      </c>
      <c r="P34" s="84"/>
      <c r="Q34" s="84"/>
      <c r="R34" s="85" t="str">
        <f aca="false">IF(INDEX($B:$B,34)="","",IF(AND(INDEX($M:$M,34)="",N(O34)=0),"",N(INDEX($M:$M,34))*IF(INDEX($N:$N,34)="+ VAT",1.2,1)+N(O34)))</f>
        <v/>
      </c>
      <c r="S34" s="85"/>
      <c r="T34" s="84" t="str">
        <f>""</f>
        <v/>
      </c>
      <c r="U34" s="84"/>
      <c r="V34" s="84"/>
      <c r="W34" s="85" t="str">
        <f aca="false">IF(R34="","",R34-N(T34))</f>
        <v/>
      </c>
      <c r="X34" s="85" t="str">
        <f aca="false">IF(R34="","",IF(INDEX($K:$K,34)&lt;&gt;"",INDEX($K:$K,34),J34)-R34)</f>
        <v/>
      </c>
      <c r="Y34" s="79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95" t="str">
        <f aca="false">IF(INDEX($B:$B,34)="","",IF(INDEX($K:$K,34)&lt;&gt;"",INDEX($K:$K,34),J34))</f>
        <v/>
      </c>
      <c r="AN34" s="1"/>
      <c r="AO34" s="1"/>
      <c r="AP34" s="1"/>
      <c r="AQ34" s="1"/>
      <c r="AR34" s="1"/>
      <c r="AS34" s="43" t="n">
        <f aca="false">IF(AP34="",0,N(AN34)+N(AO34)*$AV$7)</f>
        <v>0</v>
      </c>
      <c r="AT34" s="43" t="n">
        <f aca="false">IF(AP34="",0,N(AQ34)+N(AR34)*$AV$7)</f>
        <v>0</v>
      </c>
      <c r="AU34" s="1"/>
      <c r="AV34" s="1"/>
      <c r="AW34" s="1"/>
      <c r="AX34" s="1"/>
      <c r="AY34" s="1"/>
    </row>
    <row r="35" customFormat="false" ht="30" hidden="false" customHeight="true" outlineLevel="0" collapsed="false">
      <c r="A35" s="1"/>
      <c r="B35" s="79"/>
      <c r="C35" s="79"/>
      <c r="D35" s="79"/>
      <c r="E35" s="80"/>
      <c r="F35" s="80"/>
      <c r="G35" s="80"/>
      <c r="H35" s="80"/>
      <c r="I35" s="80"/>
      <c r="J35" s="81" t="n">
        <f aca="false">IF(OR(INDEX($B:$B,35)="",AP35="",N(INDEX(Dashboard!$D:$D,9))=0),0,IF(AP35=0,0.05*INDEX(Dashboard!$D:$D,9),IF(AP35=1,$AV$11,$AV$12)*AS35))</f>
        <v>0</v>
      </c>
      <c r="K35" s="82"/>
      <c r="L35" s="82"/>
      <c r="M35" s="82"/>
      <c r="N35" s="83"/>
      <c r="O35" s="84" t="str">
        <f>""</f>
        <v/>
      </c>
      <c r="P35" s="84"/>
      <c r="Q35" s="84"/>
      <c r="R35" s="85" t="str">
        <f aca="false">IF(INDEX($B:$B,35)="","",IF(AND(INDEX($M:$M,35)="",N(O35)=0),"",N(INDEX($M:$M,35))*IF(INDEX($N:$N,35)="+ VAT",1.2,1)+N(O35)))</f>
        <v/>
      </c>
      <c r="S35" s="85"/>
      <c r="T35" s="84" t="str">
        <f>""</f>
        <v/>
      </c>
      <c r="U35" s="84"/>
      <c r="V35" s="84"/>
      <c r="W35" s="85" t="str">
        <f aca="false">IF(R35="","",R35-N(T35))</f>
        <v/>
      </c>
      <c r="X35" s="85" t="str">
        <f aca="false">IF(R35="","",IF(INDEX($K:$K,35)&lt;&gt;"",INDEX($K:$K,35),J35)-R35)</f>
        <v/>
      </c>
      <c r="Y35" s="79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95" t="str">
        <f aca="false">IF(INDEX($B:$B,35)="","",IF(INDEX($K:$K,35)&lt;&gt;"",INDEX($K:$K,35),J35))</f>
        <v/>
      </c>
      <c r="AN35" s="1"/>
      <c r="AO35" s="1"/>
      <c r="AP35" s="1"/>
      <c r="AQ35" s="1"/>
      <c r="AR35" s="1"/>
      <c r="AS35" s="43" t="n">
        <f aca="false">IF(AP35="",0,N(AN35)+N(AO35)*$AV$7)</f>
        <v>0</v>
      </c>
      <c r="AT35" s="43" t="n">
        <f aca="false">IF(AP35="",0,N(AQ35)+N(AR35)*$AV$7)</f>
        <v>0</v>
      </c>
      <c r="AU35" s="1"/>
      <c r="AV35" s="1"/>
      <c r="AW35" s="1"/>
      <c r="AX35" s="1"/>
      <c r="AY35" s="1"/>
    </row>
    <row r="36" customFormat="false" ht="30" hidden="false" customHeight="true" outlineLevel="0" collapsed="false">
      <c r="A36" s="1"/>
      <c r="B36" s="79"/>
      <c r="C36" s="79"/>
      <c r="D36" s="79"/>
      <c r="E36" s="80"/>
      <c r="F36" s="80"/>
      <c r="G36" s="80"/>
      <c r="H36" s="80"/>
      <c r="I36" s="80"/>
      <c r="J36" s="81" t="n">
        <f aca="false">IF(OR(INDEX($B:$B,36)="",AP36="",N(INDEX(Dashboard!$D:$D,9))=0),0,IF(AP36=0,0.05*INDEX(Dashboard!$D:$D,9),IF(AP36=1,$AV$11,$AV$12)*AS36))</f>
        <v>0</v>
      </c>
      <c r="K36" s="82"/>
      <c r="L36" s="82"/>
      <c r="M36" s="82"/>
      <c r="N36" s="83"/>
      <c r="O36" s="84" t="str">
        <f>""</f>
        <v/>
      </c>
      <c r="P36" s="84"/>
      <c r="Q36" s="84"/>
      <c r="R36" s="85" t="str">
        <f aca="false">IF(INDEX($B:$B,36)="","",IF(AND(INDEX($M:$M,36)="",N(O36)=0),"",N(INDEX($M:$M,36))*IF(INDEX($N:$N,36)="+ VAT",1.2,1)+N(O36)))</f>
        <v/>
      </c>
      <c r="S36" s="85"/>
      <c r="T36" s="84" t="str">
        <f>""</f>
        <v/>
      </c>
      <c r="U36" s="84"/>
      <c r="V36" s="84"/>
      <c r="W36" s="85" t="str">
        <f aca="false">IF(R36="","",R36-N(T36))</f>
        <v/>
      </c>
      <c r="X36" s="85" t="str">
        <f aca="false">IF(R36="","",IF(INDEX($K:$K,36)&lt;&gt;"",INDEX($K:$K,36),J36)-R36)</f>
        <v/>
      </c>
      <c r="Y36" s="79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95" t="str">
        <f aca="false">IF(INDEX($B:$B,36)="","",IF(INDEX($K:$K,36)&lt;&gt;"",INDEX($K:$K,36),J36))</f>
        <v/>
      </c>
      <c r="AN36" s="1"/>
      <c r="AO36" s="1"/>
      <c r="AP36" s="1"/>
      <c r="AQ36" s="1"/>
      <c r="AR36" s="1"/>
      <c r="AS36" s="43" t="n">
        <f aca="false">IF(AP36="",0,N(AN36)+N(AO36)*$AV$7)</f>
        <v>0</v>
      </c>
      <c r="AT36" s="43" t="n">
        <f aca="false">IF(AP36="",0,N(AQ36)+N(AR36)*$AV$7)</f>
        <v>0</v>
      </c>
      <c r="AU36" s="1"/>
      <c r="AV36" s="1"/>
      <c r="AW36" s="1"/>
      <c r="AX36" s="1"/>
      <c r="AY36" s="1"/>
    </row>
    <row r="37" customFormat="false" ht="30" hidden="false" customHeight="true" outlineLevel="0" collapsed="false">
      <c r="A37" s="1"/>
      <c r="B37" s="79"/>
      <c r="C37" s="79"/>
      <c r="D37" s="79"/>
      <c r="E37" s="80"/>
      <c r="F37" s="80"/>
      <c r="G37" s="80"/>
      <c r="H37" s="80"/>
      <c r="I37" s="80"/>
      <c r="J37" s="81" t="n">
        <f aca="false">IF(OR(INDEX($B:$B,37)="",AP37="",N(INDEX(Dashboard!$D:$D,9))=0),0,IF(AP37=0,0.05*INDEX(Dashboard!$D:$D,9),IF(AP37=1,$AV$11,$AV$12)*AS37))</f>
        <v>0</v>
      </c>
      <c r="K37" s="82"/>
      <c r="L37" s="82"/>
      <c r="M37" s="82"/>
      <c r="N37" s="83"/>
      <c r="O37" s="84" t="str">
        <f>""</f>
        <v/>
      </c>
      <c r="P37" s="84"/>
      <c r="Q37" s="84"/>
      <c r="R37" s="85" t="str">
        <f aca="false">IF(INDEX($B:$B,37)="","",IF(AND(INDEX($M:$M,37)="",N(O37)=0),"",N(INDEX($M:$M,37))*IF(INDEX($N:$N,37)="+ VAT",1.2,1)+N(O37)))</f>
        <v/>
      </c>
      <c r="S37" s="85"/>
      <c r="T37" s="84" t="str">
        <f>""</f>
        <v/>
      </c>
      <c r="U37" s="84"/>
      <c r="V37" s="84"/>
      <c r="W37" s="85" t="str">
        <f aca="false">IF(R37="","",R37-N(T37))</f>
        <v/>
      </c>
      <c r="X37" s="85" t="str">
        <f aca="false">IF(R37="","",IF(INDEX($K:$K,37)&lt;&gt;"",INDEX($K:$K,37),J37)-R37)</f>
        <v/>
      </c>
      <c r="Y37" s="79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95" t="str">
        <f aca="false">IF(INDEX($B:$B,37)="","",IF(INDEX($K:$K,37)&lt;&gt;"",INDEX($K:$K,37),J37))</f>
        <v/>
      </c>
      <c r="AN37" s="1"/>
      <c r="AO37" s="1"/>
      <c r="AP37" s="1"/>
      <c r="AQ37" s="1"/>
      <c r="AR37" s="1"/>
      <c r="AS37" s="43" t="n">
        <f aca="false">IF(AP37="",0,N(AN37)+N(AO37)*$AV$7)</f>
        <v>0</v>
      </c>
      <c r="AT37" s="43" t="n">
        <f aca="false">IF(AP37="",0,N(AQ37)+N(AR37)*$AV$7)</f>
        <v>0</v>
      </c>
      <c r="AU37" s="1"/>
      <c r="AV37" s="1"/>
      <c r="AW37" s="1"/>
      <c r="AX37" s="1"/>
      <c r="AY37" s="1"/>
    </row>
    <row r="38" customFormat="false" ht="30" hidden="false" customHeight="true" outlineLevel="0" collapsed="false">
      <c r="A38" s="1"/>
      <c r="B38" s="79"/>
      <c r="C38" s="79"/>
      <c r="D38" s="79"/>
      <c r="E38" s="80"/>
      <c r="F38" s="80"/>
      <c r="G38" s="80"/>
      <c r="H38" s="80"/>
      <c r="I38" s="80"/>
      <c r="J38" s="81" t="n">
        <f aca="false">IF(OR(INDEX($B:$B,38)="",AP38="",N(INDEX(Dashboard!$D:$D,9))=0),0,IF(AP38=0,0.05*INDEX(Dashboard!$D:$D,9),IF(AP38=1,$AV$11,$AV$12)*AS38))</f>
        <v>0</v>
      </c>
      <c r="K38" s="82"/>
      <c r="L38" s="82"/>
      <c r="M38" s="82"/>
      <c r="N38" s="83"/>
      <c r="O38" s="84" t="str">
        <f>""</f>
        <v/>
      </c>
      <c r="P38" s="84"/>
      <c r="Q38" s="84"/>
      <c r="R38" s="85" t="str">
        <f aca="false">IF(INDEX($B:$B,38)="","",IF(AND(INDEX($M:$M,38)="",N(O38)=0),"",N(INDEX($M:$M,38))*IF(INDEX($N:$N,38)="+ VAT",1.2,1)+N(O38)))</f>
        <v/>
      </c>
      <c r="S38" s="85"/>
      <c r="T38" s="84" t="str">
        <f>""</f>
        <v/>
      </c>
      <c r="U38" s="84"/>
      <c r="V38" s="84"/>
      <c r="W38" s="85" t="str">
        <f aca="false">IF(R38="","",R38-N(T38))</f>
        <v/>
      </c>
      <c r="X38" s="85" t="str">
        <f aca="false">IF(R38="","",IF(INDEX($K:$K,38)&lt;&gt;"",INDEX($K:$K,38),J38)-R38)</f>
        <v/>
      </c>
      <c r="Y38" s="79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95" t="str">
        <f aca="false">IF(INDEX($B:$B,38)="","",IF(INDEX($K:$K,38)&lt;&gt;"",INDEX($K:$K,38),J38))</f>
        <v/>
      </c>
      <c r="AN38" s="1"/>
      <c r="AO38" s="1"/>
      <c r="AP38" s="1"/>
      <c r="AQ38" s="1"/>
      <c r="AR38" s="1"/>
      <c r="AS38" s="43" t="n">
        <f aca="false">IF(AP38="",0,N(AN38)+N(AO38)*$AV$7)</f>
        <v>0</v>
      </c>
      <c r="AT38" s="43" t="n">
        <f aca="false">IF(AP38="",0,N(AQ38)+N(AR38)*$AV$7)</f>
        <v>0</v>
      </c>
      <c r="AU38" s="1"/>
      <c r="AV38" s="1"/>
      <c r="AW38" s="1"/>
      <c r="AX38" s="1"/>
      <c r="AY38" s="1"/>
    </row>
    <row r="39" customFormat="false" ht="30" hidden="false" customHeight="true" outlineLevel="0" collapsed="false">
      <c r="A39" s="1"/>
      <c r="B39" s="79"/>
      <c r="C39" s="79"/>
      <c r="D39" s="79"/>
      <c r="E39" s="80"/>
      <c r="F39" s="80"/>
      <c r="G39" s="80"/>
      <c r="H39" s="80"/>
      <c r="I39" s="80"/>
      <c r="J39" s="81" t="n">
        <f aca="false">IF(OR(INDEX($B:$B,39)="",AP39="",N(INDEX(Dashboard!$D:$D,9))=0),0,IF(AP39=0,0.05*INDEX(Dashboard!$D:$D,9),IF(AP39=1,$AV$11,$AV$12)*AS39))</f>
        <v>0</v>
      </c>
      <c r="K39" s="82"/>
      <c r="L39" s="82"/>
      <c r="M39" s="82"/>
      <c r="N39" s="83"/>
      <c r="O39" s="84" t="str">
        <f>""</f>
        <v/>
      </c>
      <c r="P39" s="84"/>
      <c r="Q39" s="84"/>
      <c r="R39" s="85" t="str">
        <f aca="false">IF(INDEX($B:$B,39)="","",IF(AND(INDEX($M:$M,39)="",N(O39)=0),"",N(INDEX($M:$M,39))*IF(INDEX($N:$N,39)="+ VAT",1.2,1)+N(O39)))</f>
        <v/>
      </c>
      <c r="S39" s="85"/>
      <c r="T39" s="84" t="str">
        <f>""</f>
        <v/>
      </c>
      <c r="U39" s="84"/>
      <c r="V39" s="84"/>
      <c r="W39" s="85" t="str">
        <f aca="false">IF(R39="","",R39-N(T39))</f>
        <v/>
      </c>
      <c r="X39" s="85" t="str">
        <f aca="false">IF(R39="","",IF(INDEX($K:$K,39)&lt;&gt;"",INDEX($K:$K,39),J39)-R39)</f>
        <v/>
      </c>
      <c r="Y39" s="79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95" t="str">
        <f aca="false">IF(INDEX($B:$B,39)="","",IF(INDEX($K:$K,39)&lt;&gt;"",INDEX($K:$K,39),J39))</f>
        <v/>
      </c>
      <c r="AN39" s="1"/>
      <c r="AO39" s="1"/>
      <c r="AP39" s="1"/>
      <c r="AQ39" s="1"/>
      <c r="AR39" s="1"/>
      <c r="AS39" s="43" t="n">
        <f aca="false">IF(AP39="",0,N(AN39)+N(AO39)*$AV$7)</f>
        <v>0</v>
      </c>
      <c r="AT39" s="43" t="n">
        <f aca="false">IF(AP39="",0,N(AQ39)+N(AR39)*$AV$7)</f>
        <v>0</v>
      </c>
      <c r="AU39" s="1"/>
      <c r="AV39" s="1"/>
      <c r="AW39" s="1"/>
      <c r="AX39" s="1"/>
      <c r="AY39" s="1"/>
    </row>
    <row r="40" customFormat="false" ht="30" hidden="false" customHeight="true" outlineLevel="0" collapsed="false">
      <c r="A40" s="1"/>
      <c r="B40" s="79"/>
      <c r="C40" s="79"/>
      <c r="D40" s="79"/>
      <c r="E40" s="80"/>
      <c r="F40" s="80"/>
      <c r="G40" s="80"/>
      <c r="H40" s="80"/>
      <c r="I40" s="80"/>
      <c r="J40" s="81" t="n">
        <f aca="false">IF(OR(INDEX($B:$B,40)="",AP40="",N(INDEX(Dashboard!$D:$D,9))=0),0,IF(AP40=0,0.05*INDEX(Dashboard!$D:$D,9),IF(AP40=1,$AV$11,$AV$12)*AS40))</f>
        <v>0</v>
      </c>
      <c r="K40" s="82"/>
      <c r="L40" s="82"/>
      <c r="M40" s="82"/>
      <c r="N40" s="83"/>
      <c r="O40" s="84" t="str">
        <f>""</f>
        <v/>
      </c>
      <c r="P40" s="84"/>
      <c r="Q40" s="84"/>
      <c r="R40" s="85" t="str">
        <f aca="false">IF(INDEX($B:$B,40)="","",IF(AND(INDEX($M:$M,40)="",N(O40)=0),"",N(INDEX($M:$M,40))*IF(INDEX($N:$N,40)="+ VAT",1.2,1)+N(O40)))</f>
        <v/>
      </c>
      <c r="S40" s="85"/>
      <c r="T40" s="84" t="str">
        <f>""</f>
        <v/>
      </c>
      <c r="U40" s="84"/>
      <c r="V40" s="84"/>
      <c r="W40" s="85" t="str">
        <f aca="false">IF(R40="","",R40-N(T40))</f>
        <v/>
      </c>
      <c r="X40" s="85" t="str">
        <f aca="false">IF(R40="","",IF(INDEX($K:$K,40)&lt;&gt;"",INDEX($K:$K,40),J40)-R40)</f>
        <v/>
      </c>
      <c r="Y40" s="79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95" t="str">
        <f aca="false">IF(INDEX($B:$B,40)="","",IF(INDEX($K:$K,40)&lt;&gt;"",INDEX($K:$K,40),J40))</f>
        <v/>
      </c>
      <c r="AN40" s="1"/>
      <c r="AO40" s="1"/>
      <c r="AP40" s="1"/>
      <c r="AQ40" s="1"/>
      <c r="AR40" s="1"/>
      <c r="AS40" s="43" t="n">
        <f aca="false">IF(AP40="",0,N(AN40)+N(AO40)*$AV$7)</f>
        <v>0</v>
      </c>
      <c r="AT40" s="43" t="n">
        <f aca="false">IF(AP40="",0,N(AQ40)+N(AR40)*$AV$7)</f>
        <v>0</v>
      </c>
      <c r="AU40" s="1"/>
      <c r="AV40" s="1"/>
      <c r="AW40" s="1"/>
      <c r="AX40" s="1"/>
      <c r="AY40" s="1"/>
    </row>
    <row r="41" customFormat="false" ht="30" hidden="false" customHeight="true" outlineLevel="0" collapsed="false">
      <c r="A41" s="1"/>
      <c r="B41" s="79"/>
      <c r="C41" s="79"/>
      <c r="D41" s="79"/>
      <c r="E41" s="80"/>
      <c r="F41" s="80"/>
      <c r="G41" s="80"/>
      <c r="H41" s="80"/>
      <c r="I41" s="80"/>
      <c r="J41" s="81" t="n">
        <f aca="false">IF(OR(INDEX($B:$B,41)="",AP41="",N(INDEX(Dashboard!$D:$D,9))=0),0,IF(AP41=0,0.05*INDEX(Dashboard!$D:$D,9),IF(AP41=1,$AV$11,$AV$12)*AS41))</f>
        <v>0</v>
      </c>
      <c r="K41" s="82"/>
      <c r="L41" s="82"/>
      <c r="M41" s="82"/>
      <c r="N41" s="83"/>
      <c r="O41" s="84" t="str">
        <f>""</f>
        <v/>
      </c>
      <c r="P41" s="84"/>
      <c r="Q41" s="84"/>
      <c r="R41" s="85" t="str">
        <f aca="false">IF(INDEX($B:$B,41)="","",IF(AND(INDEX($M:$M,41)="",N(O41)=0),"",N(INDEX($M:$M,41))*IF(INDEX($N:$N,41)="+ VAT",1.2,1)+N(O41)))</f>
        <v/>
      </c>
      <c r="S41" s="85"/>
      <c r="T41" s="84" t="str">
        <f>""</f>
        <v/>
      </c>
      <c r="U41" s="84"/>
      <c r="V41" s="84"/>
      <c r="W41" s="85" t="str">
        <f aca="false">IF(R41="","",R41-N(T41))</f>
        <v/>
      </c>
      <c r="X41" s="85" t="str">
        <f aca="false">IF(R41="","",IF(INDEX($K:$K,41)&lt;&gt;"",INDEX($K:$K,41),J41)-R41)</f>
        <v/>
      </c>
      <c r="Y41" s="79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95" t="str">
        <f aca="false">IF(INDEX($B:$B,41)="","",IF(INDEX($K:$K,41)&lt;&gt;"",INDEX($K:$K,41),J41))</f>
        <v/>
      </c>
      <c r="AN41" s="1"/>
      <c r="AO41" s="1"/>
      <c r="AP41" s="1"/>
      <c r="AQ41" s="1"/>
      <c r="AR41" s="1"/>
      <c r="AS41" s="43" t="n">
        <f aca="false">IF(AP41="",0,N(AN41)+N(AO41)*$AV$7)</f>
        <v>0</v>
      </c>
      <c r="AT41" s="43" t="n">
        <f aca="false">IF(AP41="",0,N(AQ41)+N(AR41)*$AV$7)</f>
        <v>0</v>
      </c>
      <c r="AU41" s="1"/>
      <c r="AV41" s="1"/>
      <c r="AW41" s="1"/>
      <c r="AX41" s="1"/>
      <c r="AY41" s="1"/>
    </row>
    <row r="42" customFormat="false" ht="30" hidden="false" customHeight="true" outlineLevel="0" collapsed="false">
      <c r="A42" s="1"/>
      <c r="B42" s="79"/>
      <c r="C42" s="79"/>
      <c r="D42" s="79"/>
      <c r="E42" s="80"/>
      <c r="F42" s="80"/>
      <c r="G42" s="80"/>
      <c r="H42" s="80"/>
      <c r="I42" s="80"/>
      <c r="J42" s="81" t="n">
        <f aca="false">IF(OR(INDEX($B:$B,42)="",AP42="",N(INDEX(Dashboard!$D:$D,9))=0),0,IF(AP42=0,0.05*INDEX(Dashboard!$D:$D,9),IF(AP42=1,$AV$11,$AV$12)*AS42))</f>
        <v>0</v>
      </c>
      <c r="K42" s="82"/>
      <c r="L42" s="82"/>
      <c r="M42" s="82"/>
      <c r="N42" s="83"/>
      <c r="O42" s="84" t="str">
        <f>""</f>
        <v/>
      </c>
      <c r="P42" s="84"/>
      <c r="Q42" s="84"/>
      <c r="R42" s="85" t="str">
        <f aca="false">IF(INDEX($B:$B,42)="","",IF(AND(INDEX($M:$M,42)="",N(O42)=0),"",N(INDEX($M:$M,42))*IF(INDEX($N:$N,42)="+ VAT",1.2,1)+N(O42)))</f>
        <v/>
      </c>
      <c r="S42" s="85"/>
      <c r="T42" s="84" t="str">
        <f>""</f>
        <v/>
      </c>
      <c r="U42" s="84"/>
      <c r="V42" s="84"/>
      <c r="W42" s="85" t="str">
        <f aca="false">IF(R42="","",R42-N(T42))</f>
        <v/>
      </c>
      <c r="X42" s="85" t="str">
        <f aca="false">IF(R42="","",IF(INDEX($K:$K,42)&lt;&gt;"",INDEX($K:$K,42),J42)-R42)</f>
        <v/>
      </c>
      <c r="Y42" s="79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95" t="str">
        <f aca="false">IF(INDEX($B:$B,42)="","",IF(INDEX($K:$K,42)&lt;&gt;"",INDEX($K:$K,42),J42))</f>
        <v/>
      </c>
      <c r="AN42" s="1"/>
      <c r="AO42" s="1"/>
      <c r="AP42" s="1"/>
      <c r="AQ42" s="1"/>
      <c r="AR42" s="1"/>
      <c r="AS42" s="43" t="n">
        <f aca="false">IF(AP42="",0,N(AN42)+N(AO42)*$AV$7)</f>
        <v>0</v>
      </c>
      <c r="AT42" s="43" t="n">
        <f aca="false">IF(AP42="",0,N(AQ42)+N(AR42)*$AV$7)</f>
        <v>0</v>
      </c>
      <c r="AU42" s="1"/>
      <c r="AV42" s="1"/>
      <c r="AW42" s="1"/>
      <c r="AX42" s="1"/>
      <c r="AY42" s="1"/>
    </row>
    <row r="43" customFormat="false" ht="24" hidden="false" customHeight="true" outlineLevel="0" collapsed="false">
      <c r="A43" s="1"/>
      <c r="B43" s="96" t="s">
        <v>158</v>
      </c>
      <c r="C43" s="96"/>
      <c r="D43" s="96"/>
      <c r="E43" s="97"/>
      <c r="F43" s="97"/>
      <c r="G43" s="97"/>
      <c r="H43" s="97"/>
      <c r="I43" s="97"/>
      <c r="J43" s="98" t="n">
        <f aca="false">SUM(J7:J42)</f>
        <v>0</v>
      </c>
      <c r="K43" s="98" t="n">
        <f aca="false">SUM(K7:K42)</f>
        <v>0</v>
      </c>
      <c r="L43" s="98"/>
      <c r="M43" s="98" t="n">
        <f aca="false">SUM(M7:M42)</f>
        <v>0</v>
      </c>
      <c r="N43" s="98"/>
      <c r="O43" s="98" t="n">
        <f aca="false">SUM(O7:O42)</f>
        <v>0</v>
      </c>
      <c r="P43" s="98"/>
      <c r="Q43" s="98"/>
      <c r="R43" s="98" t="n">
        <f aca="false">SUM(R7:R42)</f>
        <v>0</v>
      </c>
      <c r="S43" s="98"/>
      <c r="T43" s="98" t="n">
        <f aca="false">SUM(T7:T42)</f>
        <v>0</v>
      </c>
      <c r="U43" s="98"/>
      <c r="V43" s="98"/>
      <c r="W43" s="98" t="n">
        <f aca="false">SUM(W7:W42)</f>
        <v>0</v>
      </c>
      <c r="X43" s="98" t="n">
        <f aca="false">SUM(X7:X42)</f>
        <v>0</v>
      </c>
      <c r="Y43" s="97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customFormat="false" ht="15" hidden="false" customHeight="false" outlineLevel="0" collapsed="false">
      <c r="A45" s="1"/>
      <c r="B45" s="99" t="s">
        <v>159</v>
      </c>
      <c r="C45" s="99"/>
      <c r="D45" s="9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customFormat="false" ht="15" hidden="false" customHeight="false" outlineLevel="0" collapsed="false">
      <c r="A46" s="1"/>
      <c r="B46" s="99" t="s">
        <v>160</v>
      </c>
      <c r="C46" s="99"/>
      <c r="D46" s="9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customFormat="false" ht="15" hidden="false" customHeight="false" outlineLevel="0" collapsed="false">
      <c r="A47" s="1"/>
      <c r="B47" s="99" t="s">
        <v>161</v>
      </c>
      <c r="C47" s="99"/>
      <c r="D47" s="9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customFormat="false" ht="15" hidden="false" customHeight="false" outlineLevel="0" collapsed="false">
      <c r="A48" s="1"/>
      <c r="B48" s="99" t="s">
        <v>162</v>
      </c>
      <c r="C48" s="99"/>
      <c r="D48" s="9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customFormat="false" ht="31.5" hidden="false" customHeight="true" outlineLevel="0" collapsed="false">
      <c r="A51" s="1"/>
      <c r="B51" s="77" t="s">
        <v>163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</sheetData>
  <sheetProtection sheet="true" password="f717" objects="true" scenarios="true" formatCells="false" formatColumns="false" formatRows="false" insertHyperlinks="false"/>
  <mergeCells count="252">
    <mergeCell ref="B1:B3"/>
    <mergeCell ref="D1:F1"/>
    <mergeCell ref="H1:J1"/>
    <mergeCell ref="L1:O1"/>
    <mergeCell ref="Q1:T1"/>
    <mergeCell ref="V1:W1"/>
    <mergeCell ref="X1:AC3"/>
    <mergeCell ref="D2:E2"/>
    <mergeCell ref="I2:J2"/>
    <mergeCell ref="L2:M2"/>
    <mergeCell ref="N2:O2"/>
    <mergeCell ref="Q2:R2"/>
    <mergeCell ref="S2:T2"/>
    <mergeCell ref="V2:W2"/>
    <mergeCell ref="D3:E3"/>
    <mergeCell ref="I3:J3"/>
    <mergeCell ref="L3:M3"/>
    <mergeCell ref="N3:O3"/>
    <mergeCell ref="Q3:R3"/>
    <mergeCell ref="S3:T3"/>
    <mergeCell ref="V3:W3"/>
    <mergeCell ref="Y4:AB4"/>
    <mergeCell ref="B5:AB5"/>
    <mergeCell ref="B6:D6"/>
    <mergeCell ref="E6:I6"/>
    <mergeCell ref="K6:L6"/>
    <mergeCell ref="O6:Q6"/>
    <mergeCell ref="R6:S6"/>
    <mergeCell ref="T6:V6"/>
    <mergeCell ref="B7:D7"/>
    <mergeCell ref="E7:I7"/>
    <mergeCell ref="K7:L7"/>
    <mergeCell ref="O7:Q7"/>
    <mergeCell ref="R7:S7"/>
    <mergeCell ref="T7:V7"/>
    <mergeCell ref="B8:D8"/>
    <mergeCell ref="E8:I8"/>
    <mergeCell ref="K8:L8"/>
    <mergeCell ref="O8:Q8"/>
    <mergeCell ref="R8:S8"/>
    <mergeCell ref="T8:V8"/>
    <mergeCell ref="B9:D9"/>
    <mergeCell ref="E9:I9"/>
    <mergeCell ref="K9:L9"/>
    <mergeCell ref="O9:Q9"/>
    <mergeCell ref="R9:S9"/>
    <mergeCell ref="T9:V9"/>
    <mergeCell ref="B10:D10"/>
    <mergeCell ref="E10:I10"/>
    <mergeCell ref="K10:L10"/>
    <mergeCell ref="O10:Q10"/>
    <mergeCell ref="R10:S10"/>
    <mergeCell ref="T10:V10"/>
    <mergeCell ref="B11:D11"/>
    <mergeCell ref="E11:I11"/>
    <mergeCell ref="K11:L11"/>
    <mergeCell ref="O11:Q11"/>
    <mergeCell ref="R11:S11"/>
    <mergeCell ref="T11:V11"/>
    <mergeCell ref="B12:D12"/>
    <mergeCell ref="E12:I12"/>
    <mergeCell ref="K12:L12"/>
    <mergeCell ref="O12:Q12"/>
    <mergeCell ref="R12:S12"/>
    <mergeCell ref="T12:V12"/>
    <mergeCell ref="B13:D13"/>
    <mergeCell ref="E13:I13"/>
    <mergeCell ref="K13:L13"/>
    <mergeCell ref="O13:Q13"/>
    <mergeCell ref="R13:S13"/>
    <mergeCell ref="T13:V13"/>
    <mergeCell ref="B14:D14"/>
    <mergeCell ref="E14:I14"/>
    <mergeCell ref="K14:L14"/>
    <mergeCell ref="O14:Q14"/>
    <mergeCell ref="R14:S14"/>
    <mergeCell ref="T14:V14"/>
    <mergeCell ref="B15:D15"/>
    <mergeCell ref="E15:I15"/>
    <mergeCell ref="K15:L15"/>
    <mergeCell ref="O15:Q15"/>
    <mergeCell ref="R15:S15"/>
    <mergeCell ref="T15:V15"/>
    <mergeCell ref="B16:D16"/>
    <mergeCell ref="E16:I16"/>
    <mergeCell ref="K16:L16"/>
    <mergeCell ref="O16:Q16"/>
    <mergeCell ref="R16:S16"/>
    <mergeCell ref="T16:V16"/>
    <mergeCell ref="B17:D17"/>
    <mergeCell ref="E17:I17"/>
    <mergeCell ref="K17:L17"/>
    <mergeCell ref="O17:Q17"/>
    <mergeCell ref="R17:S17"/>
    <mergeCell ref="T17:V17"/>
    <mergeCell ref="B18:D18"/>
    <mergeCell ref="E18:I18"/>
    <mergeCell ref="K18:L18"/>
    <mergeCell ref="O18:Q18"/>
    <mergeCell ref="R18:S18"/>
    <mergeCell ref="T18:V18"/>
    <mergeCell ref="B19:D19"/>
    <mergeCell ref="E19:I19"/>
    <mergeCell ref="K19:L19"/>
    <mergeCell ref="O19:Q19"/>
    <mergeCell ref="R19:S19"/>
    <mergeCell ref="T19:V19"/>
    <mergeCell ref="B20:D20"/>
    <mergeCell ref="E20:I20"/>
    <mergeCell ref="K20:L20"/>
    <mergeCell ref="O20:Q20"/>
    <mergeCell ref="R20:S20"/>
    <mergeCell ref="T20:V20"/>
    <mergeCell ref="B21:D21"/>
    <mergeCell ref="E21:I21"/>
    <mergeCell ref="K21:L21"/>
    <mergeCell ref="O21:Q21"/>
    <mergeCell ref="R21:S21"/>
    <mergeCell ref="T21:V21"/>
    <mergeCell ref="B22:D22"/>
    <mergeCell ref="E22:I22"/>
    <mergeCell ref="K22:L22"/>
    <mergeCell ref="O22:Q22"/>
    <mergeCell ref="R22:S22"/>
    <mergeCell ref="T22:V22"/>
    <mergeCell ref="B23:D23"/>
    <mergeCell ref="E23:I23"/>
    <mergeCell ref="K23:L23"/>
    <mergeCell ref="O23:Q23"/>
    <mergeCell ref="R23:S23"/>
    <mergeCell ref="T23:V23"/>
    <mergeCell ref="B24:D24"/>
    <mergeCell ref="E24:I24"/>
    <mergeCell ref="K24:L24"/>
    <mergeCell ref="O24:Q24"/>
    <mergeCell ref="R24:S24"/>
    <mergeCell ref="T24:V24"/>
    <mergeCell ref="B25:D25"/>
    <mergeCell ref="E25:I25"/>
    <mergeCell ref="K25:L25"/>
    <mergeCell ref="O25:Q25"/>
    <mergeCell ref="R25:S25"/>
    <mergeCell ref="T25:V25"/>
    <mergeCell ref="B26:D26"/>
    <mergeCell ref="E26:I26"/>
    <mergeCell ref="K26:L26"/>
    <mergeCell ref="O26:Q26"/>
    <mergeCell ref="R26:S26"/>
    <mergeCell ref="T26:V26"/>
    <mergeCell ref="B27:D27"/>
    <mergeCell ref="E27:I27"/>
    <mergeCell ref="K27:L27"/>
    <mergeCell ref="O27:Q27"/>
    <mergeCell ref="R27:S27"/>
    <mergeCell ref="T27:V27"/>
    <mergeCell ref="B28:D28"/>
    <mergeCell ref="E28:I28"/>
    <mergeCell ref="K28:L28"/>
    <mergeCell ref="O28:Q28"/>
    <mergeCell ref="R28:S28"/>
    <mergeCell ref="T28:V28"/>
    <mergeCell ref="B29:D29"/>
    <mergeCell ref="E29:I29"/>
    <mergeCell ref="K29:L29"/>
    <mergeCell ref="O29:Q29"/>
    <mergeCell ref="R29:S29"/>
    <mergeCell ref="T29:V29"/>
    <mergeCell ref="B30:D30"/>
    <mergeCell ref="E30:I30"/>
    <mergeCell ref="K30:L30"/>
    <mergeCell ref="O30:Q30"/>
    <mergeCell ref="R30:S30"/>
    <mergeCell ref="T30:V30"/>
    <mergeCell ref="B31:D31"/>
    <mergeCell ref="E31:I31"/>
    <mergeCell ref="K31:L31"/>
    <mergeCell ref="O31:Q31"/>
    <mergeCell ref="R31:S31"/>
    <mergeCell ref="T31:V31"/>
    <mergeCell ref="B32:D32"/>
    <mergeCell ref="E32:I32"/>
    <mergeCell ref="K32:L32"/>
    <mergeCell ref="O32:Q32"/>
    <mergeCell ref="R32:S32"/>
    <mergeCell ref="T32:V32"/>
    <mergeCell ref="B33:D33"/>
    <mergeCell ref="E33:I33"/>
    <mergeCell ref="K33:L33"/>
    <mergeCell ref="O33:Q33"/>
    <mergeCell ref="R33:S33"/>
    <mergeCell ref="T33:V33"/>
    <mergeCell ref="B34:D34"/>
    <mergeCell ref="E34:I34"/>
    <mergeCell ref="K34:L34"/>
    <mergeCell ref="O34:Q34"/>
    <mergeCell ref="R34:S34"/>
    <mergeCell ref="T34:V34"/>
    <mergeCell ref="B35:D35"/>
    <mergeCell ref="E35:I35"/>
    <mergeCell ref="K35:L35"/>
    <mergeCell ref="O35:Q35"/>
    <mergeCell ref="R35:S35"/>
    <mergeCell ref="T35:V35"/>
    <mergeCell ref="B36:D36"/>
    <mergeCell ref="E36:I36"/>
    <mergeCell ref="K36:L36"/>
    <mergeCell ref="O36:Q36"/>
    <mergeCell ref="R36:S36"/>
    <mergeCell ref="T36:V36"/>
    <mergeCell ref="B37:D37"/>
    <mergeCell ref="E37:I37"/>
    <mergeCell ref="K37:L37"/>
    <mergeCell ref="O37:Q37"/>
    <mergeCell ref="R37:S37"/>
    <mergeCell ref="T37:V37"/>
    <mergeCell ref="B38:D38"/>
    <mergeCell ref="E38:I38"/>
    <mergeCell ref="K38:L38"/>
    <mergeCell ref="O38:Q38"/>
    <mergeCell ref="R38:S38"/>
    <mergeCell ref="T38:V38"/>
    <mergeCell ref="B39:D39"/>
    <mergeCell ref="E39:I39"/>
    <mergeCell ref="K39:L39"/>
    <mergeCell ref="O39:Q39"/>
    <mergeCell ref="R39:S39"/>
    <mergeCell ref="T39:V39"/>
    <mergeCell ref="B40:D40"/>
    <mergeCell ref="E40:I40"/>
    <mergeCell ref="K40:L40"/>
    <mergeCell ref="O40:Q40"/>
    <mergeCell ref="R40:S40"/>
    <mergeCell ref="T40:V40"/>
    <mergeCell ref="B41:D41"/>
    <mergeCell ref="E41:I41"/>
    <mergeCell ref="K41:L41"/>
    <mergeCell ref="O41:Q41"/>
    <mergeCell ref="R41:S41"/>
    <mergeCell ref="T41:V41"/>
    <mergeCell ref="B42:D42"/>
    <mergeCell ref="E42:I42"/>
    <mergeCell ref="K42:L42"/>
    <mergeCell ref="O42:Q42"/>
    <mergeCell ref="R42:S42"/>
    <mergeCell ref="T42:V42"/>
    <mergeCell ref="E43:I43"/>
    <mergeCell ref="K43:L43"/>
    <mergeCell ref="M43:N43"/>
    <mergeCell ref="O43:Q43"/>
    <mergeCell ref="R43:S43"/>
    <mergeCell ref="T43:V43"/>
    <mergeCell ref="B51:Y51"/>
  </mergeCells>
  <conditionalFormatting sqref="J7:J42">
    <cfRule type="expression" priority="2" aboveAverage="0" equalAverage="0" bottom="0" percent="0" rank="0" text="" dxfId="4">
      <formula>AND(J7&gt;0,J7&lt;AT7-0.5)</formula>
    </cfRule>
    <cfRule type="expression" priority="3" aboveAverage="0" equalAverage="0" bottom="0" percent="0" rank="0" text="" dxfId="6">
      <formula>AND(N(J7)=0,AP7=3,AV$8&gt;0)</formula>
    </cfRule>
  </conditionalFormatting>
  <conditionalFormatting sqref="X7:X43">
    <cfRule type="cellIs" priority="4" operator="lessThan" aboveAverage="0" equalAverage="0" bottom="0" percent="0" rank="0" text="" dxfId="5">
      <formula>0</formula>
    </cfRule>
    <cfRule type="cellIs" priority="5" operator="greaterThan" aboveAverage="0" equalAverage="0" bottom="0" percent="0" rank="0" text="" dxfId="7">
      <formula>0</formula>
    </cfRule>
  </conditionalFormatting>
  <conditionalFormatting sqref="AB10">
    <cfRule type="expression" priority="6" aboveAverage="0" equalAverage="0" bottom="0" percent="0" rank="0" text="" dxfId="2">
      <formula>OR(AB10="Comfortable",AB10="About average")</formula>
    </cfRule>
    <cfRule type="expression" priority="7" aboveAverage="0" equalAverage="0" bottom="0" percent="0" rank="0" text="" dxfId="8">
      <formula>LEFT(AB10,5)="Tight"</formula>
    </cfRule>
    <cfRule type="expression" priority="8" aboveAverage="0" equalAverage="0" bottom="0" percent="0" rank="0" text="" dxfId="5">
      <formula>LEFT(AB10,4)="Very"</formula>
    </cfRule>
  </conditionalFormatting>
  <conditionalFormatting sqref="AB20">
    <cfRule type="expression" priority="9" aboveAverage="0" equalAverage="0" bottom="0" percent="0" rank="0" text="" dxfId="5">
      <formula>AB19-AB18&gt;0</formula>
    </cfRule>
    <cfRule type="expression" priority="10" aboveAverage="0" equalAverage="0" bottom="0" percent="0" rank="0" text="" dxfId="2">
      <formula>AB19-AB18&lt;0</formula>
    </cfRule>
  </conditionalFormatting>
  <dataValidations count="19">
    <dataValidation allowBlank="true" error="This cell fills itself in: no need to type here. Fill in the white cells instead." errorStyle="stop" errorTitle="Automatic cell" operator="between" showDropDown="false" showErrorMessage="true" showInputMessage="false" sqref="X1" type="custom">
      <formula1>ISFORMULA(X1)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X7:X43" type="custom">
      <formula1>ISFORMULA(X7)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7:J43" type="custom">
      <formula1>ISFORMULA(J7)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O7:O43" type="custom">
      <formula1>ISFORMULA(O7)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R7:R43" type="custom">
      <formula1>ISFORMULA(R7)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T7:T43" type="custom">
      <formula1>ISFORMULA(T7)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W7:W43" type="custom">
      <formula1>ISFORMULA(W7)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7:AB11" type="custom">
      <formula1>ISFORMULA(AB7)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18:AB20" type="custom">
      <formula1>ISFORMULA(AB18)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M7:AM42" type="custom">
      <formula1>ISFORMULA(AM7)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S7:AS42" type="custom">
      <formula1>ISFORMULA(AS7)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T7:AT42" type="custom">
      <formula1>ISFORMULA(AT7)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V7:AV12" type="custom">
      <formula1>ISFORMULA(AV7)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A15:AA16" type="custom">
      <formula1>ISFORMULA(AA15)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A20" type="custom">
      <formula1>ISFORMULA(AA20)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K43" type="custom">
      <formula1>ISFORMULA(K43)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M43" type="custom">
      <formula1>ISFORMULA(M43)</formula1>
    </dataValidation>
    <dataValidation allowBlank="true" error="Tap the cell, then choose a value from the list." errorStyle="stop" errorTitle="Choose from the list" operator="equal" prompt="Quote without VAT? Choose &quot;+ VAT&quot;: 20% is added to the real cost." promptTitle="VAT" showDropDown="false" showErrorMessage="false" showInputMessage="true" sqref="N7:N42" type="list">
      <formula1>Lists!$AF$1:$AF$2</formula1>
      <formula2>0</formula2>
    </dataValidation>
    <dataValidation allowBlank="true" error="Tap the cell, then choose a value from the list." errorStyle="stop" errorTitle="Choose from the list" operator="equal" prompt="Choose your region: the average wedding cost updates (Bridebook 2026)." promptTitle="Region" showDropDown="false" showErrorMessage="true" showInputMessage="true" sqref="AB12" type="list">
      <formula1>Lists!$AG$1:$AG$13</formula1>
      <formula2>0</formula2>
    </dataValidation>
  </dataValidations>
  <hyperlinks>
    <hyperlink ref="B1" location="'Dashboard'!A1" display="                        &#10;Dashboard&#10;                        "/>
    <hyperlink ref="H2" location="'Guests'!A1" display="       Guests        "/>
    <hyperlink ref="V2" location="'Dashboard'!A62" display="       ?  Help       "/>
    <hyperlink ref="B5" location="'Dashboard'!A62" display="✎  Type in the white cells. Enter your signed quotes (choose &quot;+ VAT&quot; if VAT is extra): the suggested budget, shopping and payments are worked out for you.   Full guide and tip  ›  Help"/>
    <hyperlink ref="D3" r:id="rIdE1"/>
    <hyperlink ref="F2" r:id="rIdE2"/>
    <hyperlink ref="F3" r:id="rIdE3"/>
    <hyperlink ref="H3" r:id="rIdE4"/>
    <hyperlink ref="I2" r:id="rIdE5"/>
    <hyperlink ref="I3" r:id="rIdE6"/>
    <hyperlink ref="L2" r:id="rIdE7"/>
    <hyperlink ref="L3" r:id="rIdE8"/>
    <hyperlink ref="N2" r:id="rIdE9"/>
    <hyperlink ref="N3" r:id="rIdE10"/>
    <hyperlink ref="O6" r:id="rIdE11"/>
    <hyperlink ref="Q2" r:id="rIdE12"/>
    <hyperlink ref="Q3" r:id="rIdE13"/>
    <hyperlink ref="S2" r:id="rIdE14"/>
    <hyperlink ref="S3" r:id="rIdE15"/>
    <hyperlink ref="T6" r:id="rIdE16"/>
    <hyperlink ref="V3" r:id="rIdE17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personal use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B546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5"/>
    <col collapsed="false" customWidth="true" hidden="false" outlineLevel="0" max="3" min="3" style="0" width="12"/>
    <col collapsed="false" customWidth="true" hidden="false" outlineLevel="0" max="4" min="4" style="0" width="4.43"/>
    <col collapsed="false" customWidth="true" hidden="false" outlineLevel="0" max="5" min="5" style="0" width="2.29"/>
    <col collapsed="false" customWidth="true" hidden="false" outlineLevel="0" max="6" min="6" style="0" width="5.29"/>
    <col collapsed="false" customWidth="true" hidden="false" outlineLevel="0" max="7" min="7" style="0" width="9.57"/>
    <col collapsed="false" customWidth="true" hidden="false" outlineLevel="0" max="8" min="8" style="0" width="11"/>
    <col collapsed="false" customWidth="true" hidden="false" outlineLevel="0" max="9" min="9" style="0" width="3.86"/>
    <col collapsed="false" customWidth="true" hidden="false" outlineLevel="0" max="10" min="10" style="0" width="1.14"/>
    <col collapsed="false" customWidth="true" hidden="false" outlineLevel="0" max="11" min="11" style="0" width="4"/>
    <col collapsed="false" customWidth="true" hidden="false" outlineLevel="0" max="12" min="12" style="0" width="10.85"/>
    <col collapsed="false" customWidth="true" hidden="false" outlineLevel="0" max="13" min="13" style="0" width="8.15"/>
    <col collapsed="false" customWidth="true" hidden="false" outlineLevel="0" max="14" min="14" style="0" width="6.71"/>
    <col collapsed="false" customWidth="true" hidden="false" outlineLevel="0" max="15" min="15" style="0" width="1.14"/>
    <col collapsed="false" customWidth="true" hidden="false" outlineLevel="0" max="16" min="16" style="0" width="12.15"/>
    <col collapsed="false" customWidth="true" hidden="false" outlineLevel="0" max="17" min="17" style="0" width="2.71"/>
    <col collapsed="false" customWidth="true" hidden="false" outlineLevel="0" max="18" min="18" style="0" width="7.29"/>
    <col collapsed="false" customWidth="true" hidden="false" outlineLevel="0" max="19" min="19" style="0" width="7.57"/>
    <col collapsed="false" customWidth="true" hidden="false" outlineLevel="0" max="20" min="20" style="0" width="1.14"/>
    <col collapsed="false" customWidth="true" hidden="false" outlineLevel="0" max="21" min="21" style="0" width="11"/>
    <col collapsed="false" customWidth="true" hidden="false" outlineLevel="0" max="22" min="22" style="0" width="3.86"/>
    <col collapsed="false" customWidth="true" hidden="false" outlineLevel="0" max="23" min="23" style="0" width="4.14"/>
    <col collapsed="false" customWidth="true" hidden="false" outlineLevel="0" max="24" min="24" style="0" width="10.71"/>
    <col collapsed="false" customWidth="true" hidden="false" outlineLevel="0" max="25" min="25" style="0" width="1.14"/>
    <col collapsed="false" customWidth="true" hidden="false" outlineLevel="0" max="26" min="26" style="0" width="7"/>
    <col collapsed="false" customWidth="true" hidden="false" outlineLevel="0" max="27" min="27" style="0" width="7.86"/>
    <col collapsed="false" customWidth="true" hidden="false" outlineLevel="0" max="28" min="28" style="0" width="6.14"/>
    <col collapsed="false" customWidth="true" hidden="false" outlineLevel="0" max="29" min="29" style="0" width="8"/>
    <col collapsed="false" customWidth="true" hidden="false" outlineLevel="0" max="30" min="30" style="0" width="14"/>
    <col collapsed="false" customWidth="true" hidden="false" outlineLevel="0" max="32" min="31" style="0" width="24"/>
    <col collapsed="false" customWidth="true" hidden="false" outlineLevel="0" max="33" min="33" style="0" width="25"/>
    <col collapsed="false" customWidth="true" hidden="false" outlineLevel="0" max="34" min="34" style="0" width="9.14"/>
    <col collapsed="false" customWidth="true" hidden="true" outlineLevel="0" max="43" min="35" style="0" width="13"/>
  </cols>
  <sheetData>
    <row r="1" customFormat="false" ht="13.5" hidden="false" customHeight="true" outlineLevel="0" collapsed="false">
      <c r="A1" s="1"/>
      <c r="B1" s="2" t="s">
        <v>0</v>
      </c>
      <c r="C1" s="2"/>
      <c r="D1" s="2"/>
      <c r="E1" s="1"/>
      <c r="F1" s="3" t="s">
        <v>1</v>
      </c>
      <c r="G1" s="3"/>
      <c r="H1" s="3"/>
      <c r="I1" s="3"/>
      <c r="J1" s="1"/>
      <c r="K1" s="4" t="s">
        <v>2</v>
      </c>
      <c r="L1" s="4"/>
      <c r="M1" s="4"/>
      <c r="N1" s="4"/>
      <c r="O1" s="1"/>
      <c r="P1" s="3" t="s">
        <v>3</v>
      </c>
      <c r="Q1" s="3"/>
      <c r="R1" s="3"/>
      <c r="S1" s="3"/>
      <c r="T1" s="1"/>
      <c r="U1" s="4" t="s">
        <v>4</v>
      </c>
      <c r="V1" s="4"/>
      <c r="W1" s="4"/>
      <c r="X1" s="4"/>
      <c r="Y1" s="1"/>
      <c r="Z1" s="5" t="s">
        <v>5</v>
      </c>
      <c r="AA1" s="5"/>
      <c r="AB1" s="70" t="str">
        <f aca="true">IF(AND(Dashboard!$D$6&lt;&gt;"",Dashboard!$D$7&lt;&gt;""),Dashboard!$D$6&amp;" &amp; "&amp;Dashboard!$D$7,"Your wedding")&amp;IF(Dashboard!$AC$8="","",IF(Dashboard!$AC$8&gt;TODAY(),"  ·  J-"&amp;(Dashboard!$AC$8-TODAY()),""))</f>
        <v>Your wedding</v>
      </c>
      <c r="AC1" s="70"/>
      <c r="AD1" s="70"/>
      <c r="AE1" s="70"/>
      <c r="AF1" s="70"/>
      <c r="AG1" s="70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customFormat="false" ht="25.5" hidden="false" customHeight="true" outlineLevel="0" collapsed="false">
      <c r="A2" s="1"/>
      <c r="B2" s="2"/>
      <c r="C2" s="2"/>
      <c r="D2" s="2"/>
      <c r="E2" s="1"/>
      <c r="F2" s="7" t="s">
        <v>7</v>
      </c>
      <c r="G2" s="7"/>
      <c r="H2" s="7" t="inlineStr">
        <is>
          <t xml:space="preserve">  🔒 Payments  </t>
        </is>
      </c>
      <c r="I2" s="7"/>
      <c r="J2" s="1"/>
      <c r="K2" s="108" t="s">
        <v>23</v>
      </c>
      <c r="L2" s="108"/>
      <c r="M2" s="7" t="inlineStr">
        <is>
          <t xml:space="preserve">  🔒 Tables  </t>
        </is>
      </c>
      <c r="N2" s="7"/>
      <c r="O2" s="1"/>
      <c r="P2" s="7" t="inlineStr">
        <is>
          <t xml:space="preserve">🔒 Checklist</t>
        </is>
      </c>
      <c r="Q2" s="7"/>
      <c r="R2" s="7" t="inlineStr">
        <is>
          <t xml:space="preserve">  🔒 Appointments  </t>
        </is>
      </c>
      <c r="S2" s="7"/>
      <c r="T2" s="1"/>
      <c r="U2" s="7" t="inlineStr">
        <is>
          <t xml:space="preserve">  🔒 Ceremony  </t>
        </is>
      </c>
      <c r="V2" s="7"/>
      <c r="W2" s="7" t="inlineStr">
        <is>
          <t xml:space="preserve">  🔒 Music  </t>
        </is>
      </c>
      <c r="X2" s="7"/>
      <c r="Y2" s="1"/>
      <c r="Z2" s="7" t="s">
        <v>9</v>
      </c>
      <c r="AA2" s="7"/>
      <c r="AB2" s="70"/>
      <c r="AC2" s="70"/>
      <c r="AD2" s="70"/>
      <c r="AE2" s="70"/>
      <c r="AF2" s="70"/>
      <c r="AG2" s="70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customFormat="false" ht="25.5" hidden="false" customHeight="true" outlineLevel="0" collapsed="false">
      <c r="A3" s="1"/>
      <c r="B3" s="2"/>
      <c r="C3" s="2"/>
      <c r="D3" s="2"/>
      <c r="E3" s="1"/>
      <c r="F3" s="8" t="inlineStr">
        <is>
          <t xml:space="preserve">  🔒 Suppliers  </t>
        </is>
      </c>
      <c r="G3" s="8"/>
      <c r="H3" s="8" t="inlineStr">
        <is>
          <t xml:space="preserve">  🔒 Shopping  </t>
        </is>
      </c>
      <c r="I3" s="8"/>
      <c r="J3" s="1"/>
      <c r="K3" s="8" t="inlineStr">
        <is>
          <t xml:space="preserve">  🔒 Seating plan  </t>
        </is>
      </c>
      <c r="L3" s="8"/>
      <c r="M3" s="8" t="inlineStr">
        <is>
          <t xml:space="preserve">  🔒 Catering  </t>
        </is>
      </c>
      <c r="N3" s="8"/>
      <c r="O3" s="1"/>
      <c r="P3" s="8" t="inlineStr">
        <is>
          <t xml:space="preserve">  🔒 Giving notice  </t>
        </is>
      </c>
      <c r="Q3" s="8"/>
      <c r="R3" s="8" t="inlineStr">
        <is>
          <t xml:space="preserve">  🔒 Contacts  </t>
        </is>
      </c>
      <c r="S3" s="8"/>
      <c r="T3" s="1"/>
      <c r="U3" s="8" t="inlineStr">
        <is>
          <t xml:space="preserve">  🔒 On the day  </t>
        </is>
      </c>
      <c r="V3" s="8"/>
      <c r="W3" s="8" t="inlineStr">
        <is>
          <t xml:space="preserve">🔒 Thank yous</t>
        </is>
      </c>
      <c r="X3" s="8"/>
      <c r="Y3" s="1"/>
      <c r="Z3" s="8" t="inlineStr">
        <is>
          <t xml:space="preserve">  🔒 Notes  </t>
        </is>
      </c>
      <c r="AA3" s="8"/>
      <c r="AB3" s="70"/>
      <c r="AC3" s="70"/>
      <c r="AD3" s="70"/>
      <c r="AE3" s="70"/>
      <c r="AF3" s="70"/>
      <c r="AG3" s="70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customFormat="false" ht="39.75" hidden="false" customHeight="true" outlineLevel="0" collapsed="false">
      <c r="A4" s="1"/>
      <c r="B4" s="109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73" t="s">
        <v>93</v>
      </c>
      <c r="AF4" s="73"/>
      <c r="AG4" s="73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customFormat="false" ht="25.5" hidden="false" customHeight="true" outlineLevel="0" collapsed="false">
      <c r="A5" s="1"/>
      <c r="B5" s="110" t="s">
        <v>166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customFormat="false" ht="51.75" hidden="false" customHeight="true" outlineLevel="0" collapsed="false">
      <c r="A6" s="1"/>
      <c r="B6" s="111" t="s">
        <v>167</v>
      </c>
      <c r="C6" s="112" t="s">
        <v>168</v>
      </c>
      <c r="D6" s="112" t="s">
        <v>169</v>
      </c>
      <c r="E6" s="112"/>
      <c r="F6" s="112"/>
      <c r="G6" s="112" t="s">
        <v>170</v>
      </c>
      <c r="H6" s="112" t="s">
        <v>171</v>
      </c>
      <c r="I6" s="112" t="s">
        <v>172</v>
      </c>
      <c r="J6" s="112"/>
      <c r="K6" s="112"/>
      <c r="L6" s="112" t="s">
        <v>173</v>
      </c>
      <c r="M6" s="112"/>
      <c r="N6" s="112" t="s">
        <v>174</v>
      </c>
      <c r="O6" s="112"/>
      <c r="P6" s="112"/>
      <c r="Q6" s="112" t="s">
        <v>175</v>
      </c>
      <c r="R6" s="112"/>
      <c r="S6" s="112" t="s">
        <v>176</v>
      </c>
      <c r="T6" s="112"/>
      <c r="U6" s="112" t="s">
        <v>177</v>
      </c>
      <c r="V6" s="112" t="s">
        <v>178</v>
      </c>
      <c r="W6" s="112"/>
      <c r="X6" s="112" t="s">
        <v>179</v>
      </c>
      <c r="Y6" s="112"/>
      <c r="Z6" s="112" t="s">
        <v>180</v>
      </c>
      <c r="AA6" s="112" t="s">
        <v>181</v>
      </c>
      <c r="AB6" s="112"/>
      <c r="AC6" s="112" t="s">
        <v>182</v>
      </c>
      <c r="AD6" s="112" t="s">
        <v>165</v>
      </c>
      <c r="AE6" s="112" t="s">
        <v>183</v>
      </c>
      <c r="AF6" s="112" t="s">
        <v>184</v>
      </c>
      <c r="AG6" s="112" t="s">
        <v>89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customFormat="false" ht="21.75" hidden="false" customHeight="true" outlineLevel="0" collapsed="false">
      <c r="A7" s="1"/>
      <c r="B7" s="113" t="str">
        <f aca="false">IF(AI7="","",COUNT($AI$7:AI7))</f>
        <v/>
      </c>
      <c r="C7" s="114"/>
      <c r="D7" s="114"/>
      <c r="E7" s="114"/>
      <c r="F7" s="114"/>
      <c r="G7" s="115"/>
      <c r="H7" s="115"/>
      <c r="I7" s="115"/>
      <c r="J7" s="115"/>
      <c r="K7" s="115"/>
      <c r="L7" s="114"/>
      <c r="M7" s="114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4"/>
      <c r="Y7" s="114"/>
      <c r="Z7" s="115"/>
      <c r="AA7" s="114"/>
      <c r="AB7" s="114"/>
      <c r="AC7" s="115"/>
      <c r="AD7" s="116"/>
      <c r="AE7" s="114"/>
      <c r="AF7" s="114"/>
      <c r="AG7" s="114"/>
      <c r="AH7" s="1"/>
      <c r="AI7" s="95" t="str">
        <f aca="false">IF(INDEX($C:$C,7)&amp;INDEX($D:$D,7)="","",1)</f>
        <v/>
      </c>
      <c r="AJ7" s="95" t="str">
        <f aca="false">IF(OR(AI7="",INDEX($Z:$Z,7)="",INDEX($U:$U,7)="Declined"),"",1)</f>
        <v/>
      </c>
      <c r="AK7" s="95" t="str">
        <f aca="false">IF(AJ7="","",INDEX($Z:$Z,7)&amp;"-"&amp;COUNTIFS($Z$7:Z7,INDEX($Z:$Z,7),$AJ$7:AJ7,1))</f>
        <v/>
      </c>
      <c r="AL7" s="43" t="str">
        <f aca="false">IF(AI7="","",TRIM(INDEX($D:$D,7)&amp;" "&amp;INDEX($C:$C,7))&amp;IF(INDEX($I:$I,7)="Yes"," (child)",""))</f>
        <v/>
      </c>
      <c r="AM7" s="95" t="str">
        <f aca="false">IF(OR(AI7="",INDEX($X:$X,7)="",INDEX($U:$U,7)="Declined"),"",COUNTIFS($X$7:X7,"?*",$U$7:U7,"&lt;&gt;Declined",$AI$7:AI7,1))</f>
        <v/>
      </c>
      <c r="AN7" s="95" t="str">
        <f aca="false">IF(AI7="","",IF(INDEX($L:$L,7)="",1,IF(COUNTIF($L$7:L7,INDEX($L:$L,7))=1,1,"")))</f>
        <v/>
      </c>
      <c r="AO7" s="95" t="str">
        <f aca="false">IF(AN7&lt;&gt;1,"",IF(INDEX($L:$L,7)="",IF(INDEX($S:$S,7)="Yes",1,""),IF(COUNTIFS($L$7:$L$506,INDEX($L:$L,7),$S$7:$S$506,"Yes")&gt;0,1,"")))</f>
        <v/>
      </c>
      <c r="AP7" s="95" t="str">
        <f aca="false">IF(AN7&lt;&gt;1,"",IF(INDEX($L:$L,7)&lt;&gt;"",INDEX($L:$L,7),TRIM(INDEX($D:$D,7)&amp;" "&amp;INDEX($C:$C,7))))</f>
        <v/>
      </c>
      <c r="AQ7" s="43" t="str">
        <f aca="false">IF(OR(AI7="",INDEX($I:$I,7)="Yes"),"",1)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customFormat="false" ht="21.75" hidden="false" customHeight="true" outlineLevel="0" collapsed="false">
      <c r="A8" s="1"/>
      <c r="B8" s="113" t="str">
        <f aca="false">IF(AI8="","",COUNT($AI$7:AI8))</f>
        <v/>
      </c>
      <c r="C8" s="114"/>
      <c r="D8" s="114"/>
      <c r="E8" s="114"/>
      <c r="F8" s="114"/>
      <c r="G8" s="115"/>
      <c r="H8" s="115"/>
      <c r="I8" s="115"/>
      <c r="J8" s="115"/>
      <c r="K8" s="115"/>
      <c r="L8" s="114"/>
      <c r="M8" s="114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4"/>
      <c r="Y8" s="114"/>
      <c r="Z8" s="115"/>
      <c r="AA8" s="114"/>
      <c r="AB8" s="114"/>
      <c r="AC8" s="115"/>
      <c r="AD8" s="116"/>
      <c r="AE8" s="114"/>
      <c r="AF8" s="114"/>
      <c r="AG8" s="114"/>
      <c r="AH8" s="1"/>
      <c r="AI8" s="95" t="str">
        <f aca="false">IF(INDEX($C:$C,8)&amp;INDEX($D:$D,8)="","",1)</f>
        <v/>
      </c>
      <c r="AJ8" s="95" t="str">
        <f aca="false">IF(OR(AI8="",INDEX($Z:$Z,8)="",INDEX($U:$U,8)="Declined"),"",1)</f>
        <v/>
      </c>
      <c r="AK8" s="95" t="str">
        <f aca="false">IF(AJ8="","",INDEX($Z:$Z,8)&amp;"-"&amp;COUNTIFS($Z$7:Z8,INDEX($Z:$Z,8),$AJ$7:AJ8,1))</f>
        <v/>
      </c>
      <c r="AL8" s="43" t="str">
        <f aca="false">IF(AI8="","",TRIM(INDEX($D:$D,8)&amp;" "&amp;INDEX($C:$C,8))&amp;IF(INDEX($I:$I,8)="Yes"," (child)",""))</f>
        <v/>
      </c>
      <c r="AM8" s="95" t="str">
        <f aca="false">IF(OR(AI8="",INDEX($X:$X,8)="",INDEX($U:$U,8)="Declined"),"",COUNTIFS($X$7:X8,"?*",$U$7:U8,"&lt;&gt;Declined",$AI$7:AI8,1))</f>
        <v/>
      </c>
      <c r="AN8" s="95" t="str">
        <f aca="false">IF(AI8="","",IF(INDEX($L:$L,8)="",1,IF(COUNTIF($L$7:L8,INDEX($L:$L,8))=1,1,"")))</f>
        <v/>
      </c>
      <c r="AO8" s="95" t="str">
        <f aca="false">IF(AN8&lt;&gt;1,"",IF(INDEX($L:$L,8)="",IF(INDEX($S:$S,8)="Yes",1,""),IF(COUNTIFS($L$7:$L$506,INDEX($L:$L,8),$S$7:$S$506,"Yes")&gt;0,1,"")))</f>
        <v/>
      </c>
      <c r="AP8" s="95" t="str">
        <f aca="false">IF(AN8&lt;&gt;1,"",IF(INDEX($L:$L,8)&lt;&gt;"",INDEX($L:$L,8),TRIM(INDEX($D:$D,8)&amp;" "&amp;INDEX($C:$C,8))))</f>
        <v/>
      </c>
      <c r="AQ8" s="43" t="str">
        <f aca="false">IF(OR(AI8="",INDEX($I:$I,8)="Yes"),"",1)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customFormat="false" ht="21.75" hidden="false" customHeight="true" outlineLevel="0" collapsed="false">
      <c r="A9" s="1"/>
      <c r="B9" s="113" t="str">
        <f aca="false">IF(AI9="","",COUNT($AI$7:AI9))</f>
        <v/>
      </c>
      <c r="C9" s="114"/>
      <c r="D9" s="114"/>
      <c r="E9" s="114"/>
      <c r="F9" s="114"/>
      <c r="G9" s="115"/>
      <c r="H9" s="115"/>
      <c r="I9" s="115"/>
      <c r="J9" s="115"/>
      <c r="K9" s="115"/>
      <c r="L9" s="114"/>
      <c r="M9" s="114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4"/>
      <c r="Y9" s="114"/>
      <c r="Z9" s="115"/>
      <c r="AA9" s="114"/>
      <c r="AB9" s="114"/>
      <c r="AC9" s="115"/>
      <c r="AD9" s="116"/>
      <c r="AE9" s="114"/>
      <c r="AF9" s="114"/>
      <c r="AG9" s="114"/>
      <c r="AH9" s="1"/>
      <c r="AI9" s="95" t="str">
        <f aca="false">IF(INDEX($C:$C,9)&amp;INDEX($D:$D,9)="","",1)</f>
        <v/>
      </c>
      <c r="AJ9" s="95" t="str">
        <f aca="false">IF(OR(AI9="",INDEX($Z:$Z,9)="",INDEX($U:$U,9)="Declined"),"",1)</f>
        <v/>
      </c>
      <c r="AK9" s="95" t="str">
        <f aca="false">IF(AJ9="","",INDEX($Z:$Z,9)&amp;"-"&amp;COUNTIFS($Z$7:Z9,INDEX($Z:$Z,9),$AJ$7:AJ9,1))</f>
        <v/>
      </c>
      <c r="AL9" s="43" t="str">
        <f aca="false">IF(AI9="","",TRIM(INDEX($D:$D,9)&amp;" "&amp;INDEX($C:$C,9))&amp;IF(INDEX($I:$I,9)="Yes"," (child)",""))</f>
        <v/>
      </c>
      <c r="AM9" s="95" t="str">
        <f aca="false">IF(OR(AI9="",INDEX($X:$X,9)="",INDEX($U:$U,9)="Declined"),"",COUNTIFS($X$7:X9,"?*",$U$7:U9,"&lt;&gt;Declined",$AI$7:AI9,1))</f>
        <v/>
      </c>
      <c r="AN9" s="95" t="str">
        <f aca="false">IF(AI9="","",IF(INDEX($L:$L,9)="",1,IF(COUNTIF($L$7:L9,INDEX($L:$L,9))=1,1,"")))</f>
        <v/>
      </c>
      <c r="AO9" s="95" t="str">
        <f aca="false">IF(AN9&lt;&gt;1,"",IF(INDEX($L:$L,9)="",IF(INDEX($S:$S,9)="Yes",1,""),IF(COUNTIFS($L$7:$L$506,INDEX($L:$L,9),$S$7:$S$506,"Yes")&gt;0,1,"")))</f>
        <v/>
      </c>
      <c r="AP9" s="95" t="str">
        <f aca="false">IF(AN9&lt;&gt;1,"",IF(INDEX($L:$L,9)&lt;&gt;"",INDEX($L:$L,9),TRIM(INDEX($D:$D,9)&amp;" "&amp;INDEX($C:$C,9))))</f>
        <v/>
      </c>
      <c r="AQ9" s="43" t="str">
        <f aca="false">IF(OR(AI9="",INDEX($I:$I,9)="Yes"),"",1)</f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customFormat="false" ht="21.75" hidden="false" customHeight="true" outlineLevel="0" collapsed="false">
      <c r="A10" s="1"/>
      <c r="B10" s="113" t="str">
        <f aca="false">IF(AI10="","",COUNT($AI$7:AI10))</f>
        <v/>
      </c>
      <c r="C10" s="114"/>
      <c r="D10" s="114"/>
      <c r="E10" s="114"/>
      <c r="F10" s="114"/>
      <c r="G10" s="115"/>
      <c r="H10" s="115"/>
      <c r="I10" s="115"/>
      <c r="J10" s="115"/>
      <c r="K10" s="115"/>
      <c r="L10" s="114"/>
      <c r="M10" s="114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4"/>
      <c r="Y10" s="114"/>
      <c r="Z10" s="115"/>
      <c r="AA10" s="114"/>
      <c r="AB10" s="114"/>
      <c r="AC10" s="115"/>
      <c r="AD10" s="116"/>
      <c r="AE10" s="114"/>
      <c r="AF10" s="114"/>
      <c r="AG10" s="114"/>
      <c r="AH10" s="1"/>
      <c r="AI10" s="95" t="str">
        <f aca="false">IF(INDEX($C:$C,10)&amp;INDEX($D:$D,10)="","",1)</f>
        <v/>
      </c>
      <c r="AJ10" s="95" t="str">
        <f aca="false">IF(OR(AI10="",INDEX($Z:$Z,10)="",INDEX($U:$U,10)="Declined"),"",1)</f>
        <v/>
      </c>
      <c r="AK10" s="95" t="str">
        <f aca="false">IF(AJ10="","",INDEX($Z:$Z,10)&amp;"-"&amp;COUNTIFS($Z$7:Z10,INDEX($Z:$Z,10),$AJ$7:AJ10,1))</f>
        <v/>
      </c>
      <c r="AL10" s="43" t="str">
        <f aca="false">IF(AI10="","",TRIM(INDEX($D:$D,10)&amp;" "&amp;INDEX($C:$C,10))&amp;IF(INDEX($I:$I,10)="Yes"," (child)",""))</f>
        <v/>
      </c>
      <c r="AM10" s="95" t="str">
        <f aca="false">IF(OR(AI10="",INDEX($X:$X,10)="",INDEX($U:$U,10)="Declined"),"",COUNTIFS($X$7:X10,"?*",$U$7:U10,"&lt;&gt;Declined",$AI$7:AI10,1))</f>
        <v/>
      </c>
      <c r="AN10" s="95" t="str">
        <f aca="false">IF(AI10="","",IF(INDEX($L:$L,10)="",1,IF(COUNTIF($L$7:L10,INDEX($L:$L,10))=1,1,"")))</f>
        <v/>
      </c>
      <c r="AO10" s="95" t="str">
        <f aca="false">IF(AN10&lt;&gt;1,"",IF(INDEX($L:$L,10)="",IF(INDEX($S:$S,10)="Yes",1,""),IF(COUNTIFS($L$7:$L$506,INDEX($L:$L,10),$S$7:$S$506,"Yes")&gt;0,1,"")))</f>
        <v/>
      </c>
      <c r="AP10" s="95" t="str">
        <f aca="false">IF(AN10&lt;&gt;1,"",IF(INDEX($L:$L,10)&lt;&gt;"",INDEX($L:$L,10),TRIM(INDEX($D:$D,10)&amp;" "&amp;INDEX($C:$C,10))))</f>
        <v/>
      </c>
      <c r="AQ10" s="43" t="str">
        <f aca="false">IF(OR(AI10="",INDEX($I:$I,10)="Yes"),"",1)</f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customFormat="false" ht="21.75" hidden="false" customHeight="true" outlineLevel="0" collapsed="false">
      <c r="A11" s="1"/>
      <c r="B11" s="113" t="str">
        <f aca="false">IF(AI11="","",COUNT($AI$7:AI11))</f>
        <v/>
      </c>
      <c r="C11" s="114"/>
      <c r="D11" s="114"/>
      <c r="E11" s="114"/>
      <c r="F11" s="114"/>
      <c r="G11" s="115"/>
      <c r="H11" s="115"/>
      <c r="I11" s="115"/>
      <c r="J11" s="115"/>
      <c r="K11" s="115"/>
      <c r="L11" s="114"/>
      <c r="M11" s="114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4"/>
      <c r="Y11" s="114"/>
      <c r="Z11" s="115"/>
      <c r="AA11" s="114"/>
      <c r="AB11" s="114"/>
      <c r="AC11" s="115"/>
      <c r="AD11" s="116"/>
      <c r="AE11" s="114"/>
      <c r="AF11" s="114"/>
      <c r="AG11" s="114"/>
      <c r="AH11" s="1"/>
      <c r="AI11" s="95" t="str">
        <f aca="false">IF(INDEX($C:$C,11)&amp;INDEX($D:$D,11)="","",1)</f>
        <v/>
      </c>
      <c r="AJ11" s="95" t="str">
        <f aca="false">IF(OR(AI11="",INDEX($Z:$Z,11)="",INDEX($U:$U,11)="Declined"),"",1)</f>
        <v/>
      </c>
      <c r="AK11" s="95" t="str">
        <f aca="false">IF(AJ11="","",INDEX($Z:$Z,11)&amp;"-"&amp;COUNTIFS($Z$7:Z11,INDEX($Z:$Z,11),$AJ$7:AJ11,1))</f>
        <v/>
      </c>
      <c r="AL11" s="43" t="str">
        <f aca="false">IF(AI11="","",TRIM(INDEX($D:$D,11)&amp;" "&amp;INDEX($C:$C,11))&amp;IF(INDEX($I:$I,11)="Yes"," (child)",""))</f>
        <v/>
      </c>
      <c r="AM11" s="95" t="str">
        <f aca="false">IF(OR(AI11="",INDEX($X:$X,11)="",INDEX($U:$U,11)="Declined"),"",COUNTIFS($X$7:X11,"?*",$U$7:U11,"&lt;&gt;Declined",$AI$7:AI11,1))</f>
        <v/>
      </c>
      <c r="AN11" s="95" t="str">
        <f aca="false">IF(AI11="","",IF(INDEX($L:$L,11)="",1,IF(COUNTIF($L$7:L11,INDEX($L:$L,11))=1,1,"")))</f>
        <v/>
      </c>
      <c r="AO11" s="95" t="str">
        <f aca="false">IF(AN11&lt;&gt;1,"",IF(INDEX($L:$L,11)="",IF(INDEX($S:$S,11)="Yes",1,""),IF(COUNTIFS($L$7:$L$506,INDEX($L:$L,11),$S$7:$S$506,"Yes")&gt;0,1,"")))</f>
        <v/>
      </c>
      <c r="AP11" s="95" t="str">
        <f aca="false">IF(AN11&lt;&gt;1,"",IF(INDEX($L:$L,11)&lt;&gt;"",INDEX($L:$L,11),TRIM(INDEX($D:$D,11)&amp;" "&amp;INDEX($C:$C,11))))</f>
        <v/>
      </c>
      <c r="AQ11" s="43" t="str">
        <f aca="false">IF(OR(AI11="",INDEX($I:$I,11)="Yes"),"",1)</f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customFormat="false" ht="21.75" hidden="false" customHeight="true" outlineLevel="0" collapsed="false">
      <c r="A12" s="1"/>
      <c r="B12" s="113" t="str">
        <f aca="false">IF(AI12="","",COUNT($AI$7:AI12))</f>
        <v/>
      </c>
      <c r="C12" s="114"/>
      <c r="D12" s="114"/>
      <c r="E12" s="114"/>
      <c r="F12" s="114"/>
      <c r="G12" s="115"/>
      <c r="H12" s="115"/>
      <c r="I12" s="115"/>
      <c r="J12" s="115"/>
      <c r="K12" s="115"/>
      <c r="L12" s="114"/>
      <c r="M12" s="114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4"/>
      <c r="Y12" s="114"/>
      <c r="Z12" s="115"/>
      <c r="AA12" s="114"/>
      <c r="AB12" s="114"/>
      <c r="AC12" s="115"/>
      <c r="AD12" s="116"/>
      <c r="AE12" s="114"/>
      <c r="AF12" s="114"/>
      <c r="AG12" s="114"/>
      <c r="AH12" s="1"/>
      <c r="AI12" s="95" t="str">
        <f aca="false">IF(INDEX($C:$C,12)&amp;INDEX($D:$D,12)="","",1)</f>
        <v/>
      </c>
      <c r="AJ12" s="95" t="str">
        <f aca="false">IF(OR(AI12="",INDEX($Z:$Z,12)="",INDEX($U:$U,12)="Declined"),"",1)</f>
        <v/>
      </c>
      <c r="AK12" s="95" t="str">
        <f aca="false">IF(AJ12="","",INDEX($Z:$Z,12)&amp;"-"&amp;COUNTIFS($Z$7:Z12,INDEX($Z:$Z,12),$AJ$7:AJ12,1))</f>
        <v/>
      </c>
      <c r="AL12" s="43" t="str">
        <f aca="false">IF(AI12="","",TRIM(INDEX($D:$D,12)&amp;" "&amp;INDEX($C:$C,12))&amp;IF(INDEX($I:$I,12)="Yes"," (child)",""))</f>
        <v/>
      </c>
      <c r="AM12" s="95" t="str">
        <f aca="false">IF(OR(AI12="",INDEX($X:$X,12)="",INDEX($U:$U,12)="Declined"),"",COUNTIFS($X$7:X12,"?*",$U$7:U12,"&lt;&gt;Declined",$AI$7:AI12,1))</f>
        <v/>
      </c>
      <c r="AN12" s="95" t="str">
        <f aca="false">IF(AI12="","",IF(INDEX($L:$L,12)="",1,IF(COUNTIF($L$7:L12,INDEX($L:$L,12))=1,1,"")))</f>
        <v/>
      </c>
      <c r="AO12" s="95" t="str">
        <f aca="false">IF(AN12&lt;&gt;1,"",IF(INDEX($L:$L,12)="",IF(INDEX($S:$S,12)="Yes",1,""),IF(COUNTIFS($L$7:$L$506,INDEX($L:$L,12),$S$7:$S$506,"Yes")&gt;0,1,"")))</f>
        <v/>
      </c>
      <c r="AP12" s="95" t="str">
        <f aca="false">IF(AN12&lt;&gt;1,"",IF(INDEX($L:$L,12)&lt;&gt;"",INDEX($L:$L,12),TRIM(INDEX($D:$D,12)&amp;" "&amp;INDEX($C:$C,12))))</f>
        <v/>
      </c>
      <c r="AQ12" s="43" t="str">
        <f aca="false">IF(OR(AI12="",INDEX($I:$I,12)="Yes"),"",1)</f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customFormat="false" ht="21.75" hidden="false" customHeight="true" outlineLevel="0" collapsed="false">
      <c r="A13" s="1"/>
      <c r="B13" s="113" t="str">
        <f aca="false">IF(AI13="","",COUNT($AI$7:AI13))</f>
        <v/>
      </c>
      <c r="C13" s="114"/>
      <c r="D13" s="114"/>
      <c r="E13" s="114"/>
      <c r="F13" s="114"/>
      <c r="G13" s="115"/>
      <c r="H13" s="115"/>
      <c r="I13" s="115"/>
      <c r="J13" s="115"/>
      <c r="K13" s="115"/>
      <c r="L13" s="114"/>
      <c r="M13" s="114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4"/>
      <c r="Y13" s="114"/>
      <c r="Z13" s="115"/>
      <c r="AA13" s="114"/>
      <c r="AB13" s="114"/>
      <c r="AC13" s="115"/>
      <c r="AD13" s="116"/>
      <c r="AE13" s="114"/>
      <c r="AF13" s="114"/>
      <c r="AG13" s="114"/>
      <c r="AH13" s="1"/>
      <c r="AI13" s="95" t="str">
        <f aca="false">IF(INDEX($C:$C,13)&amp;INDEX($D:$D,13)="","",1)</f>
        <v/>
      </c>
      <c r="AJ13" s="95" t="str">
        <f aca="false">IF(OR(AI13="",INDEX($Z:$Z,13)="",INDEX($U:$U,13)="Declined"),"",1)</f>
        <v/>
      </c>
      <c r="AK13" s="95" t="str">
        <f aca="false">IF(AJ13="","",INDEX($Z:$Z,13)&amp;"-"&amp;COUNTIFS($Z$7:Z13,INDEX($Z:$Z,13),$AJ$7:AJ13,1))</f>
        <v/>
      </c>
      <c r="AL13" s="43" t="str">
        <f aca="false">IF(AI13="","",TRIM(INDEX($D:$D,13)&amp;" "&amp;INDEX($C:$C,13))&amp;IF(INDEX($I:$I,13)="Yes"," (child)",""))</f>
        <v/>
      </c>
      <c r="AM13" s="95" t="str">
        <f aca="false">IF(OR(AI13="",INDEX($X:$X,13)="",INDEX($U:$U,13)="Declined"),"",COUNTIFS($X$7:X13,"?*",$U$7:U13,"&lt;&gt;Declined",$AI$7:AI13,1))</f>
        <v/>
      </c>
      <c r="AN13" s="95" t="str">
        <f aca="false">IF(AI13="","",IF(INDEX($L:$L,13)="",1,IF(COUNTIF($L$7:L13,INDEX($L:$L,13))=1,1,"")))</f>
        <v/>
      </c>
      <c r="AO13" s="95" t="str">
        <f aca="false">IF(AN13&lt;&gt;1,"",IF(INDEX($L:$L,13)="",IF(INDEX($S:$S,13)="Yes",1,""),IF(COUNTIFS($L$7:$L$506,INDEX($L:$L,13),$S$7:$S$506,"Yes")&gt;0,1,"")))</f>
        <v/>
      </c>
      <c r="AP13" s="95" t="str">
        <f aca="false">IF(AN13&lt;&gt;1,"",IF(INDEX($L:$L,13)&lt;&gt;"",INDEX($L:$L,13),TRIM(INDEX($D:$D,13)&amp;" "&amp;INDEX($C:$C,13))))</f>
        <v/>
      </c>
      <c r="AQ13" s="43" t="str">
        <f aca="false">IF(OR(AI13="",INDEX($I:$I,13)="Yes"),"",1)</f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customFormat="false" ht="21.75" hidden="false" customHeight="true" outlineLevel="0" collapsed="false">
      <c r="A14" s="1"/>
      <c r="B14" s="113" t="str">
        <f aca="false">IF(AI14="","",COUNT($AI$7:AI14))</f>
        <v/>
      </c>
      <c r="C14" s="114"/>
      <c r="D14" s="114"/>
      <c r="E14" s="114"/>
      <c r="F14" s="114"/>
      <c r="G14" s="115"/>
      <c r="H14" s="115"/>
      <c r="I14" s="115"/>
      <c r="J14" s="115"/>
      <c r="K14" s="115"/>
      <c r="L14" s="114"/>
      <c r="M14" s="114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4"/>
      <c r="Y14" s="114"/>
      <c r="Z14" s="115"/>
      <c r="AA14" s="114"/>
      <c r="AB14" s="114"/>
      <c r="AC14" s="115"/>
      <c r="AD14" s="116"/>
      <c r="AE14" s="114"/>
      <c r="AF14" s="114"/>
      <c r="AG14" s="114"/>
      <c r="AH14" s="1"/>
      <c r="AI14" s="95" t="str">
        <f aca="false">IF(INDEX($C:$C,14)&amp;INDEX($D:$D,14)="","",1)</f>
        <v/>
      </c>
      <c r="AJ14" s="95" t="str">
        <f aca="false">IF(OR(AI14="",INDEX($Z:$Z,14)="",INDEX($U:$U,14)="Declined"),"",1)</f>
        <v/>
      </c>
      <c r="AK14" s="95" t="str">
        <f aca="false">IF(AJ14="","",INDEX($Z:$Z,14)&amp;"-"&amp;COUNTIFS($Z$7:Z14,INDEX($Z:$Z,14),$AJ$7:AJ14,1))</f>
        <v/>
      </c>
      <c r="AL14" s="43" t="str">
        <f aca="false">IF(AI14="","",TRIM(INDEX($D:$D,14)&amp;" "&amp;INDEX($C:$C,14))&amp;IF(INDEX($I:$I,14)="Yes"," (child)",""))</f>
        <v/>
      </c>
      <c r="AM14" s="95" t="str">
        <f aca="false">IF(OR(AI14="",INDEX($X:$X,14)="",INDEX($U:$U,14)="Declined"),"",COUNTIFS($X$7:X14,"?*",$U$7:U14,"&lt;&gt;Declined",$AI$7:AI14,1))</f>
        <v/>
      </c>
      <c r="AN14" s="95" t="str">
        <f aca="false">IF(AI14="","",IF(INDEX($L:$L,14)="",1,IF(COUNTIF($L$7:L14,INDEX($L:$L,14))=1,1,"")))</f>
        <v/>
      </c>
      <c r="AO14" s="95" t="str">
        <f aca="false">IF(AN14&lt;&gt;1,"",IF(INDEX($L:$L,14)="",IF(INDEX($S:$S,14)="Yes",1,""),IF(COUNTIFS($L$7:$L$506,INDEX($L:$L,14),$S$7:$S$506,"Yes")&gt;0,1,"")))</f>
        <v/>
      </c>
      <c r="AP14" s="95" t="str">
        <f aca="false">IF(AN14&lt;&gt;1,"",IF(INDEX($L:$L,14)&lt;&gt;"",INDEX($L:$L,14),TRIM(INDEX($D:$D,14)&amp;" "&amp;INDEX($C:$C,14))))</f>
        <v/>
      </c>
      <c r="AQ14" s="43" t="str">
        <f aca="false">IF(OR(AI14="",INDEX($I:$I,14)="Yes"),"",1)</f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customFormat="false" ht="21.75" hidden="false" customHeight="true" outlineLevel="0" collapsed="false">
      <c r="A15" s="1"/>
      <c r="B15" s="113" t="str">
        <f aca="false">IF(AI15="","",COUNT($AI$7:AI15))</f>
        <v/>
      </c>
      <c r="C15" s="114"/>
      <c r="D15" s="114"/>
      <c r="E15" s="114"/>
      <c r="F15" s="114"/>
      <c r="G15" s="115"/>
      <c r="H15" s="115"/>
      <c r="I15" s="115"/>
      <c r="J15" s="115"/>
      <c r="K15" s="115"/>
      <c r="L15" s="114"/>
      <c r="M15" s="114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4"/>
      <c r="Y15" s="114"/>
      <c r="Z15" s="115"/>
      <c r="AA15" s="114"/>
      <c r="AB15" s="114"/>
      <c r="AC15" s="115"/>
      <c r="AD15" s="116"/>
      <c r="AE15" s="114"/>
      <c r="AF15" s="114"/>
      <c r="AG15" s="114"/>
      <c r="AH15" s="1"/>
      <c r="AI15" s="95" t="str">
        <f aca="false">IF(INDEX($C:$C,15)&amp;INDEX($D:$D,15)="","",1)</f>
        <v/>
      </c>
      <c r="AJ15" s="95" t="str">
        <f aca="false">IF(OR(AI15="",INDEX($Z:$Z,15)="",INDEX($U:$U,15)="Declined"),"",1)</f>
        <v/>
      </c>
      <c r="AK15" s="95" t="str">
        <f aca="false">IF(AJ15="","",INDEX($Z:$Z,15)&amp;"-"&amp;COUNTIFS($Z$7:Z15,INDEX($Z:$Z,15),$AJ$7:AJ15,1))</f>
        <v/>
      </c>
      <c r="AL15" s="43" t="str">
        <f aca="false">IF(AI15="","",TRIM(INDEX($D:$D,15)&amp;" "&amp;INDEX($C:$C,15))&amp;IF(INDEX($I:$I,15)="Yes"," (child)",""))</f>
        <v/>
      </c>
      <c r="AM15" s="95" t="str">
        <f aca="false">IF(OR(AI15="",INDEX($X:$X,15)="",INDEX($U:$U,15)="Declined"),"",COUNTIFS($X$7:X15,"?*",$U$7:U15,"&lt;&gt;Declined",$AI$7:AI15,1))</f>
        <v/>
      </c>
      <c r="AN15" s="95" t="str">
        <f aca="false">IF(AI15="","",IF(INDEX($L:$L,15)="",1,IF(COUNTIF($L$7:L15,INDEX($L:$L,15))=1,1,"")))</f>
        <v/>
      </c>
      <c r="AO15" s="95" t="str">
        <f aca="false">IF(AN15&lt;&gt;1,"",IF(INDEX($L:$L,15)="",IF(INDEX($S:$S,15)="Yes",1,""),IF(COUNTIFS($L$7:$L$506,INDEX($L:$L,15),$S$7:$S$506,"Yes")&gt;0,1,"")))</f>
        <v/>
      </c>
      <c r="AP15" s="95" t="str">
        <f aca="false">IF(AN15&lt;&gt;1,"",IF(INDEX($L:$L,15)&lt;&gt;"",INDEX($L:$L,15),TRIM(INDEX($D:$D,15)&amp;" "&amp;INDEX($C:$C,15))))</f>
        <v/>
      </c>
      <c r="AQ15" s="43" t="str">
        <f aca="false">IF(OR(AI15="",INDEX($I:$I,15)="Yes"),"",1)</f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customFormat="false" ht="21.75" hidden="false" customHeight="true" outlineLevel="0" collapsed="false">
      <c r="A16" s="1"/>
      <c r="B16" s="113" t="str">
        <f aca="false">IF(AI16="","",COUNT($AI$7:AI16))</f>
        <v/>
      </c>
      <c r="C16" s="114"/>
      <c r="D16" s="114"/>
      <c r="E16" s="114"/>
      <c r="F16" s="114"/>
      <c r="G16" s="115"/>
      <c r="H16" s="115"/>
      <c r="I16" s="115"/>
      <c r="J16" s="115"/>
      <c r="K16" s="115"/>
      <c r="L16" s="114"/>
      <c r="M16" s="114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4"/>
      <c r="Y16" s="114"/>
      <c r="Z16" s="115"/>
      <c r="AA16" s="114"/>
      <c r="AB16" s="114"/>
      <c r="AC16" s="115"/>
      <c r="AD16" s="116"/>
      <c r="AE16" s="114"/>
      <c r="AF16" s="114"/>
      <c r="AG16" s="114"/>
      <c r="AH16" s="1"/>
      <c r="AI16" s="95" t="str">
        <f aca="false">IF(INDEX($C:$C,16)&amp;INDEX($D:$D,16)="","",1)</f>
        <v/>
      </c>
      <c r="AJ16" s="95" t="str">
        <f aca="false">IF(OR(AI16="",INDEX($Z:$Z,16)="",INDEX($U:$U,16)="Declined"),"",1)</f>
        <v/>
      </c>
      <c r="AK16" s="95" t="str">
        <f aca="false">IF(AJ16="","",INDEX($Z:$Z,16)&amp;"-"&amp;COUNTIFS($Z$7:Z16,INDEX($Z:$Z,16),$AJ$7:AJ16,1))</f>
        <v/>
      </c>
      <c r="AL16" s="43" t="str">
        <f aca="false">IF(AI16="","",TRIM(INDEX($D:$D,16)&amp;" "&amp;INDEX($C:$C,16))&amp;IF(INDEX($I:$I,16)="Yes"," (child)",""))</f>
        <v/>
      </c>
      <c r="AM16" s="95" t="str">
        <f aca="false">IF(OR(AI16="",INDEX($X:$X,16)="",INDEX($U:$U,16)="Declined"),"",COUNTIFS($X$7:X16,"?*",$U$7:U16,"&lt;&gt;Declined",$AI$7:AI16,1))</f>
        <v/>
      </c>
      <c r="AN16" s="95" t="str">
        <f aca="false">IF(AI16="","",IF(INDEX($L:$L,16)="",1,IF(COUNTIF($L$7:L16,INDEX($L:$L,16))=1,1,"")))</f>
        <v/>
      </c>
      <c r="AO16" s="95" t="str">
        <f aca="false">IF(AN16&lt;&gt;1,"",IF(INDEX($L:$L,16)="",IF(INDEX($S:$S,16)="Yes",1,""),IF(COUNTIFS($L$7:$L$506,INDEX($L:$L,16),$S$7:$S$506,"Yes")&gt;0,1,"")))</f>
        <v/>
      </c>
      <c r="AP16" s="95" t="str">
        <f aca="false">IF(AN16&lt;&gt;1,"",IF(INDEX($L:$L,16)&lt;&gt;"",INDEX($L:$L,16),TRIM(INDEX($D:$D,16)&amp;" "&amp;INDEX($C:$C,16))))</f>
        <v/>
      </c>
      <c r="AQ16" s="43" t="str">
        <f aca="false">IF(OR(AI16="",INDEX($I:$I,16)="Yes"),"",1)</f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customFormat="false" ht="21.75" hidden="false" customHeight="true" outlineLevel="0" collapsed="false">
      <c r="A17" s="1"/>
      <c r="B17" s="113" t="str">
        <f aca="false">IF(AI17="","",COUNT($AI$7:AI17))</f>
        <v/>
      </c>
      <c r="C17" s="114"/>
      <c r="D17" s="114"/>
      <c r="E17" s="114"/>
      <c r="F17" s="114"/>
      <c r="G17" s="115"/>
      <c r="H17" s="115"/>
      <c r="I17" s="115"/>
      <c r="J17" s="115"/>
      <c r="K17" s="115"/>
      <c r="L17" s="114"/>
      <c r="M17" s="114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4"/>
      <c r="Y17" s="114"/>
      <c r="Z17" s="115"/>
      <c r="AA17" s="114"/>
      <c r="AB17" s="114"/>
      <c r="AC17" s="115"/>
      <c r="AD17" s="116"/>
      <c r="AE17" s="114"/>
      <c r="AF17" s="114"/>
      <c r="AG17" s="114"/>
      <c r="AH17" s="1"/>
      <c r="AI17" s="95" t="str">
        <f aca="false">IF(INDEX($C:$C,17)&amp;INDEX($D:$D,17)="","",1)</f>
        <v/>
      </c>
      <c r="AJ17" s="95" t="str">
        <f aca="false">IF(OR(AI17="",INDEX($Z:$Z,17)="",INDEX($U:$U,17)="Declined"),"",1)</f>
        <v/>
      </c>
      <c r="AK17" s="95" t="str">
        <f aca="false">IF(AJ17="","",INDEX($Z:$Z,17)&amp;"-"&amp;COUNTIFS($Z$7:Z17,INDEX($Z:$Z,17),$AJ$7:AJ17,1))</f>
        <v/>
      </c>
      <c r="AL17" s="43" t="str">
        <f aca="false">IF(AI17="","",TRIM(INDEX($D:$D,17)&amp;" "&amp;INDEX($C:$C,17))&amp;IF(INDEX($I:$I,17)="Yes"," (child)",""))</f>
        <v/>
      </c>
      <c r="AM17" s="95" t="str">
        <f aca="false">IF(OR(AI17="",INDEX($X:$X,17)="",INDEX($U:$U,17)="Declined"),"",COUNTIFS($X$7:X17,"?*",$U$7:U17,"&lt;&gt;Declined",$AI$7:AI17,1))</f>
        <v/>
      </c>
      <c r="AN17" s="95" t="str">
        <f aca="false">IF(AI17="","",IF(INDEX($L:$L,17)="",1,IF(COUNTIF($L$7:L17,INDEX($L:$L,17))=1,1,"")))</f>
        <v/>
      </c>
      <c r="AO17" s="95" t="str">
        <f aca="false">IF(AN17&lt;&gt;1,"",IF(INDEX($L:$L,17)="",IF(INDEX($S:$S,17)="Yes",1,""),IF(COUNTIFS($L$7:$L$506,INDEX($L:$L,17),$S$7:$S$506,"Yes")&gt;0,1,"")))</f>
        <v/>
      </c>
      <c r="AP17" s="95" t="str">
        <f aca="false">IF(AN17&lt;&gt;1,"",IF(INDEX($L:$L,17)&lt;&gt;"",INDEX($L:$L,17),TRIM(INDEX($D:$D,17)&amp;" "&amp;INDEX($C:$C,17))))</f>
        <v/>
      </c>
      <c r="AQ17" s="43" t="str">
        <f aca="false">IF(OR(AI17="",INDEX($I:$I,17)="Yes"),"",1)</f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customFormat="false" ht="21.75" hidden="false" customHeight="true" outlineLevel="0" collapsed="false">
      <c r="A18" s="1"/>
      <c r="B18" s="113" t="str">
        <f aca="false">IF(AI18="","",COUNT($AI$7:AI18))</f>
        <v/>
      </c>
      <c r="C18" s="114"/>
      <c r="D18" s="114"/>
      <c r="E18" s="114"/>
      <c r="F18" s="114"/>
      <c r="G18" s="115"/>
      <c r="H18" s="115"/>
      <c r="I18" s="115"/>
      <c r="J18" s="115"/>
      <c r="K18" s="115"/>
      <c r="L18" s="114"/>
      <c r="M18" s="114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4"/>
      <c r="Y18" s="114"/>
      <c r="Z18" s="115"/>
      <c r="AA18" s="114"/>
      <c r="AB18" s="114"/>
      <c r="AC18" s="115"/>
      <c r="AD18" s="116"/>
      <c r="AE18" s="114"/>
      <c r="AF18" s="114"/>
      <c r="AG18" s="114"/>
      <c r="AH18" s="1"/>
      <c r="AI18" s="95" t="str">
        <f aca="false">IF(INDEX($C:$C,18)&amp;INDEX($D:$D,18)="","",1)</f>
        <v/>
      </c>
      <c r="AJ18" s="95" t="str">
        <f aca="false">IF(OR(AI18="",INDEX($Z:$Z,18)="",INDEX($U:$U,18)="Declined"),"",1)</f>
        <v/>
      </c>
      <c r="AK18" s="95" t="str">
        <f aca="false">IF(AJ18="","",INDEX($Z:$Z,18)&amp;"-"&amp;COUNTIFS($Z$7:Z18,INDEX($Z:$Z,18),$AJ$7:AJ18,1))</f>
        <v/>
      </c>
      <c r="AL18" s="43" t="str">
        <f aca="false">IF(AI18="","",TRIM(INDEX($D:$D,18)&amp;" "&amp;INDEX($C:$C,18))&amp;IF(INDEX($I:$I,18)="Yes"," (child)",""))</f>
        <v/>
      </c>
      <c r="AM18" s="95" t="str">
        <f aca="false">IF(OR(AI18="",INDEX($X:$X,18)="",INDEX($U:$U,18)="Declined"),"",COUNTIFS($X$7:X18,"?*",$U$7:U18,"&lt;&gt;Declined",$AI$7:AI18,1))</f>
        <v/>
      </c>
      <c r="AN18" s="95" t="str">
        <f aca="false">IF(AI18="","",IF(INDEX($L:$L,18)="",1,IF(COUNTIF($L$7:L18,INDEX($L:$L,18))=1,1,"")))</f>
        <v/>
      </c>
      <c r="AO18" s="95" t="str">
        <f aca="false">IF(AN18&lt;&gt;1,"",IF(INDEX($L:$L,18)="",IF(INDEX($S:$S,18)="Yes",1,""),IF(COUNTIFS($L$7:$L$506,INDEX($L:$L,18),$S$7:$S$506,"Yes")&gt;0,1,"")))</f>
        <v/>
      </c>
      <c r="AP18" s="95" t="str">
        <f aca="false">IF(AN18&lt;&gt;1,"",IF(INDEX($L:$L,18)&lt;&gt;"",INDEX($L:$L,18),TRIM(INDEX($D:$D,18)&amp;" "&amp;INDEX($C:$C,18))))</f>
        <v/>
      </c>
      <c r="AQ18" s="43" t="str">
        <f aca="false">IF(OR(AI18="",INDEX($I:$I,18)="Yes"),"",1)</f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customFormat="false" ht="21.75" hidden="false" customHeight="true" outlineLevel="0" collapsed="false">
      <c r="A19" s="1"/>
      <c r="B19" s="113" t="str">
        <f aca="false">IF(AI19="","",COUNT($AI$7:AI19))</f>
        <v/>
      </c>
      <c r="C19" s="114"/>
      <c r="D19" s="114"/>
      <c r="E19" s="114"/>
      <c r="F19" s="114"/>
      <c r="G19" s="115"/>
      <c r="H19" s="115"/>
      <c r="I19" s="115"/>
      <c r="J19" s="115"/>
      <c r="K19" s="115"/>
      <c r="L19" s="114"/>
      <c r="M19" s="114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4"/>
      <c r="Y19" s="114"/>
      <c r="Z19" s="115"/>
      <c r="AA19" s="114"/>
      <c r="AB19" s="114"/>
      <c r="AC19" s="115"/>
      <c r="AD19" s="116"/>
      <c r="AE19" s="114"/>
      <c r="AF19" s="114"/>
      <c r="AG19" s="114"/>
      <c r="AH19" s="1"/>
      <c r="AI19" s="95" t="str">
        <f aca="false">IF(INDEX($C:$C,19)&amp;INDEX($D:$D,19)="","",1)</f>
        <v/>
      </c>
      <c r="AJ19" s="95" t="str">
        <f aca="false">IF(OR(AI19="",INDEX($Z:$Z,19)="",INDEX($U:$U,19)="Declined"),"",1)</f>
        <v/>
      </c>
      <c r="AK19" s="95" t="str">
        <f aca="false">IF(AJ19="","",INDEX($Z:$Z,19)&amp;"-"&amp;COUNTIFS($Z$7:Z19,INDEX($Z:$Z,19),$AJ$7:AJ19,1))</f>
        <v/>
      </c>
      <c r="AL19" s="43" t="str">
        <f aca="false">IF(AI19="","",TRIM(INDEX($D:$D,19)&amp;" "&amp;INDEX($C:$C,19))&amp;IF(INDEX($I:$I,19)="Yes"," (child)",""))</f>
        <v/>
      </c>
      <c r="AM19" s="95" t="str">
        <f aca="false">IF(OR(AI19="",INDEX($X:$X,19)="",INDEX($U:$U,19)="Declined"),"",COUNTIFS($X$7:X19,"?*",$U$7:U19,"&lt;&gt;Declined",$AI$7:AI19,1))</f>
        <v/>
      </c>
      <c r="AN19" s="95" t="str">
        <f aca="false">IF(AI19="","",IF(INDEX($L:$L,19)="",1,IF(COUNTIF($L$7:L19,INDEX($L:$L,19))=1,1,"")))</f>
        <v/>
      </c>
      <c r="AO19" s="95" t="str">
        <f aca="false">IF(AN19&lt;&gt;1,"",IF(INDEX($L:$L,19)="",IF(INDEX($S:$S,19)="Yes",1,""),IF(COUNTIFS($L$7:$L$506,INDEX($L:$L,19),$S$7:$S$506,"Yes")&gt;0,1,"")))</f>
        <v/>
      </c>
      <c r="AP19" s="95" t="str">
        <f aca="false">IF(AN19&lt;&gt;1,"",IF(INDEX($L:$L,19)&lt;&gt;"",INDEX($L:$L,19),TRIM(INDEX($D:$D,19)&amp;" "&amp;INDEX($C:$C,19))))</f>
        <v/>
      </c>
      <c r="AQ19" s="43" t="str">
        <f aca="false">IF(OR(AI19="",INDEX($I:$I,19)="Yes"),"",1)</f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customFormat="false" ht="21.75" hidden="false" customHeight="true" outlineLevel="0" collapsed="false">
      <c r="A20" s="1"/>
      <c r="B20" s="113" t="str">
        <f aca="false">IF(AI20="","",COUNT($AI$7:AI20))</f>
        <v/>
      </c>
      <c r="C20" s="114"/>
      <c r="D20" s="114"/>
      <c r="E20" s="114"/>
      <c r="F20" s="114"/>
      <c r="G20" s="115"/>
      <c r="H20" s="115"/>
      <c r="I20" s="115"/>
      <c r="J20" s="115"/>
      <c r="K20" s="115"/>
      <c r="L20" s="114"/>
      <c r="M20" s="114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4"/>
      <c r="Y20" s="114"/>
      <c r="Z20" s="115"/>
      <c r="AA20" s="114"/>
      <c r="AB20" s="114"/>
      <c r="AC20" s="115"/>
      <c r="AD20" s="116"/>
      <c r="AE20" s="114"/>
      <c r="AF20" s="114"/>
      <c r="AG20" s="114"/>
      <c r="AH20" s="1"/>
      <c r="AI20" s="95" t="str">
        <f aca="false">IF(INDEX($C:$C,20)&amp;INDEX($D:$D,20)="","",1)</f>
        <v/>
      </c>
      <c r="AJ20" s="95" t="str">
        <f aca="false">IF(OR(AI20="",INDEX($Z:$Z,20)="",INDEX($U:$U,20)="Declined"),"",1)</f>
        <v/>
      </c>
      <c r="AK20" s="95" t="str">
        <f aca="false">IF(AJ20="","",INDEX($Z:$Z,20)&amp;"-"&amp;COUNTIFS($Z$7:Z20,INDEX($Z:$Z,20),$AJ$7:AJ20,1))</f>
        <v/>
      </c>
      <c r="AL20" s="43" t="str">
        <f aca="false">IF(AI20="","",TRIM(INDEX($D:$D,20)&amp;" "&amp;INDEX($C:$C,20))&amp;IF(INDEX($I:$I,20)="Yes"," (child)",""))</f>
        <v/>
      </c>
      <c r="AM20" s="95" t="str">
        <f aca="false">IF(OR(AI20="",INDEX($X:$X,20)="",INDEX($U:$U,20)="Declined"),"",COUNTIFS($X$7:X20,"?*",$U$7:U20,"&lt;&gt;Declined",$AI$7:AI20,1))</f>
        <v/>
      </c>
      <c r="AN20" s="95" t="str">
        <f aca="false">IF(AI20="","",IF(INDEX($L:$L,20)="",1,IF(COUNTIF($L$7:L20,INDEX($L:$L,20))=1,1,"")))</f>
        <v/>
      </c>
      <c r="AO20" s="95" t="str">
        <f aca="false">IF(AN20&lt;&gt;1,"",IF(INDEX($L:$L,20)="",IF(INDEX($S:$S,20)="Yes",1,""),IF(COUNTIFS($L$7:$L$506,INDEX($L:$L,20),$S$7:$S$506,"Yes")&gt;0,1,"")))</f>
        <v/>
      </c>
      <c r="AP20" s="95" t="str">
        <f aca="false">IF(AN20&lt;&gt;1,"",IF(INDEX($L:$L,20)&lt;&gt;"",INDEX($L:$L,20),TRIM(INDEX($D:$D,20)&amp;" "&amp;INDEX($C:$C,20))))</f>
        <v/>
      </c>
      <c r="AQ20" s="43" t="str">
        <f aca="false">IF(OR(AI20="",INDEX($I:$I,20)="Yes"),"",1)</f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customFormat="false" ht="21.75" hidden="false" customHeight="true" outlineLevel="0" collapsed="false">
      <c r="A21" s="1"/>
      <c r="B21" s="113" t="str">
        <f aca="false">IF(AI21="","",COUNT($AI$7:AI21))</f>
        <v/>
      </c>
      <c r="C21" s="114"/>
      <c r="D21" s="114"/>
      <c r="E21" s="114"/>
      <c r="F21" s="114"/>
      <c r="G21" s="115"/>
      <c r="H21" s="115"/>
      <c r="I21" s="115"/>
      <c r="J21" s="115"/>
      <c r="K21" s="115"/>
      <c r="L21" s="114"/>
      <c r="M21" s="114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4"/>
      <c r="Y21" s="114"/>
      <c r="Z21" s="115"/>
      <c r="AA21" s="114"/>
      <c r="AB21" s="114"/>
      <c r="AC21" s="115"/>
      <c r="AD21" s="116"/>
      <c r="AE21" s="114"/>
      <c r="AF21" s="114"/>
      <c r="AG21" s="114"/>
      <c r="AH21" s="1"/>
      <c r="AI21" s="95" t="str">
        <f aca="false">IF(INDEX($C:$C,21)&amp;INDEX($D:$D,21)="","",1)</f>
        <v/>
      </c>
      <c r="AJ21" s="95" t="str">
        <f aca="false">IF(OR(AI21="",INDEX($Z:$Z,21)="",INDEX($U:$U,21)="Declined"),"",1)</f>
        <v/>
      </c>
      <c r="AK21" s="95" t="str">
        <f aca="false">IF(AJ21="","",INDEX($Z:$Z,21)&amp;"-"&amp;COUNTIFS($Z$7:Z21,INDEX($Z:$Z,21),$AJ$7:AJ21,1))</f>
        <v/>
      </c>
      <c r="AL21" s="43" t="str">
        <f aca="false">IF(AI21="","",TRIM(INDEX($D:$D,21)&amp;" "&amp;INDEX($C:$C,21))&amp;IF(INDEX($I:$I,21)="Yes"," (child)",""))</f>
        <v/>
      </c>
      <c r="AM21" s="95" t="str">
        <f aca="false">IF(OR(AI21="",INDEX($X:$X,21)="",INDEX($U:$U,21)="Declined"),"",COUNTIFS($X$7:X21,"?*",$U$7:U21,"&lt;&gt;Declined",$AI$7:AI21,1))</f>
        <v/>
      </c>
      <c r="AN21" s="95" t="str">
        <f aca="false">IF(AI21="","",IF(INDEX($L:$L,21)="",1,IF(COUNTIF($L$7:L21,INDEX($L:$L,21))=1,1,"")))</f>
        <v/>
      </c>
      <c r="AO21" s="95" t="str">
        <f aca="false">IF(AN21&lt;&gt;1,"",IF(INDEX($L:$L,21)="",IF(INDEX($S:$S,21)="Yes",1,""),IF(COUNTIFS($L$7:$L$506,INDEX($L:$L,21),$S$7:$S$506,"Yes")&gt;0,1,"")))</f>
        <v/>
      </c>
      <c r="AP21" s="95" t="str">
        <f aca="false">IF(AN21&lt;&gt;1,"",IF(INDEX($L:$L,21)&lt;&gt;"",INDEX($L:$L,21),TRIM(INDEX($D:$D,21)&amp;" "&amp;INDEX($C:$C,21))))</f>
        <v/>
      </c>
      <c r="AQ21" s="43" t="str">
        <f aca="false">IF(OR(AI21="",INDEX($I:$I,21)="Yes"),"",1)</f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customFormat="false" ht="21.75" hidden="false" customHeight="true" outlineLevel="0" collapsed="false">
      <c r="A22" s="1"/>
      <c r="B22" s="113" t="str">
        <f aca="false">IF(AI22="","",COUNT($AI$7:AI22))</f>
        <v/>
      </c>
      <c r="C22" s="114"/>
      <c r="D22" s="114"/>
      <c r="E22" s="114"/>
      <c r="F22" s="114"/>
      <c r="G22" s="115"/>
      <c r="H22" s="115"/>
      <c r="I22" s="115"/>
      <c r="J22" s="115"/>
      <c r="K22" s="115"/>
      <c r="L22" s="114"/>
      <c r="M22" s="114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4"/>
      <c r="Y22" s="114"/>
      <c r="Z22" s="115"/>
      <c r="AA22" s="114"/>
      <c r="AB22" s="114"/>
      <c r="AC22" s="115"/>
      <c r="AD22" s="116"/>
      <c r="AE22" s="114"/>
      <c r="AF22" s="114"/>
      <c r="AG22" s="114"/>
      <c r="AH22" s="1"/>
      <c r="AI22" s="95" t="str">
        <f aca="false">IF(INDEX($C:$C,22)&amp;INDEX($D:$D,22)="","",1)</f>
        <v/>
      </c>
      <c r="AJ22" s="95" t="str">
        <f aca="false">IF(OR(AI22="",INDEX($Z:$Z,22)="",INDEX($U:$U,22)="Declined"),"",1)</f>
        <v/>
      </c>
      <c r="AK22" s="95" t="str">
        <f aca="false">IF(AJ22="","",INDEX($Z:$Z,22)&amp;"-"&amp;COUNTIFS($Z$7:Z22,INDEX($Z:$Z,22),$AJ$7:AJ22,1))</f>
        <v/>
      </c>
      <c r="AL22" s="43" t="str">
        <f aca="false">IF(AI22="","",TRIM(INDEX($D:$D,22)&amp;" "&amp;INDEX($C:$C,22))&amp;IF(INDEX($I:$I,22)="Yes"," (child)",""))</f>
        <v/>
      </c>
      <c r="AM22" s="95" t="str">
        <f aca="false">IF(OR(AI22="",INDEX($X:$X,22)="",INDEX($U:$U,22)="Declined"),"",COUNTIFS($X$7:X22,"?*",$U$7:U22,"&lt;&gt;Declined",$AI$7:AI22,1))</f>
        <v/>
      </c>
      <c r="AN22" s="95" t="str">
        <f aca="false">IF(AI22="","",IF(INDEX($L:$L,22)="",1,IF(COUNTIF($L$7:L22,INDEX($L:$L,22))=1,1,"")))</f>
        <v/>
      </c>
      <c r="AO22" s="95" t="str">
        <f aca="false">IF(AN22&lt;&gt;1,"",IF(INDEX($L:$L,22)="",IF(INDEX($S:$S,22)="Yes",1,""),IF(COUNTIFS($L$7:$L$506,INDEX($L:$L,22),$S$7:$S$506,"Yes")&gt;0,1,"")))</f>
        <v/>
      </c>
      <c r="AP22" s="95" t="str">
        <f aca="false">IF(AN22&lt;&gt;1,"",IF(INDEX($L:$L,22)&lt;&gt;"",INDEX($L:$L,22),TRIM(INDEX($D:$D,22)&amp;" "&amp;INDEX($C:$C,22))))</f>
        <v/>
      </c>
      <c r="AQ22" s="43" t="str">
        <f aca="false">IF(OR(AI22="",INDEX($I:$I,22)="Yes"),"",1)</f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customFormat="false" ht="21.75" hidden="false" customHeight="true" outlineLevel="0" collapsed="false">
      <c r="A23" s="1"/>
      <c r="B23" s="113" t="str">
        <f aca="false">IF(AI23="","",COUNT($AI$7:AI23))</f>
        <v/>
      </c>
      <c r="C23" s="114"/>
      <c r="D23" s="114"/>
      <c r="E23" s="114"/>
      <c r="F23" s="114"/>
      <c r="G23" s="115"/>
      <c r="H23" s="115"/>
      <c r="I23" s="115"/>
      <c r="J23" s="115"/>
      <c r="K23" s="115"/>
      <c r="L23" s="114"/>
      <c r="M23" s="114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4"/>
      <c r="Y23" s="114"/>
      <c r="Z23" s="115"/>
      <c r="AA23" s="114"/>
      <c r="AB23" s="114"/>
      <c r="AC23" s="115"/>
      <c r="AD23" s="116"/>
      <c r="AE23" s="114"/>
      <c r="AF23" s="114"/>
      <c r="AG23" s="114"/>
      <c r="AH23" s="1"/>
      <c r="AI23" s="95" t="str">
        <f aca="false">IF(INDEX($C:$C,23)&amp;INDEX($D:$D,23)="","",1)</f>
        <v/>
      </c>
      <c r="AJ23" s="95" t="str">
        <f aca="false">IF(OR(AI23="",INDEX($Z:$Z,23)="",INDEX($U:$U,23)="Declined"),"",1)</f>
        <v/>
      </c>
      <c r="AK23" s="95" t="str">
        <f aca="false">IF(AJ23="","",INDEX($Z:$Z,23)&amp;"-"&amp;COUNTIFS($Z$7:Z23,INDEX($Z:$Z,23),$AJ$7:AJ23,1))</f>
        <v/>
      </c>
      <c r="AL23" s="43" t="str">
        <f aca="false">IF(AI23="","",TRIM(INDEX($D:$D,23)&amp;" "&amp;INDEX($C:$C,23))&amp;IF(INDEX($I:$I,23)="Yes"," (child)",""))</f>
        <v/>
      </c>
      <c r="AM23" s="95" t="str">
        <f aca="false">IF(OR(AI23="",INDEX($X:$X,23)="",INDEX($U:$U,23)="Declined"),"",COUNTIFS($X$7:X23,"?*",$U$7:U23,"&lt;&gt;Declined",$AI$7:AI23,1))</f>
        <v/>
      </c>
      <c r="AN23" s="95" t="str">
        <f aca="false">IF(AI23="","",IF(INDEX($L:$L,23)="",1,IF(COUNTIF($L$7:L23,INDEX($L:$L,23))=1,1,"")))</f>
        <v/>
      </c>
      <c r="AO23" s="95" t="str">
        <f aca="false">IF(AN23&lt;&gt;1,"",IF(INDEX($L:$L,23)="",IF(INDEX($S:$S,23)="Yes",1,""),IF(COUNTIFS($L$7:$L$506,INDEX($L:$L,23),$S$7:$S$506,"Yes")&gt;0,1,"")))</f>
        <v/>
      </c>
      <c r="AP23" s="95" t="str">
        <f aca="false">IF(AN23&lt;&gt;1,"",IF(INDEX($L:$L,23)&lt;&gt;"",INDEX($L:$L,23),TRIM(INDEX($D:$D,23)&amp;" "&amp;INDEX($C:$C,23))))</f>
        <v/>
      </c>
      <c r="AQ23" s="43" t="str">
        <f aca="false">IF(OR(AI23="",INDEX($I:$I,23)="Yes"),"",1)</f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customFormat="false" ht="21.75" hidden="false" customHeight="true" outlineLevel="0" collapsed="false">
      <c r="A24" s="1"/>
      <c r="B24" s="113" t="str">
        <f aca="false">IF(AI24="","",COUNT($AI$7:AI24))</f>
        <v/>
      </c>
      <c r="C24" s="114"/>
      <c r="D24" s="114"/>
      <c r="E24" s="114"/>
      <c r="F24" s="114"/>
      <c r="G24" s="115"/>
      <c r="H24" s="115"/>
      <c r="I24" s="115"/>
      <c r="J24" s="115"/>
      <c r="K24" s="115"/>
      <c r="L24" s="114"/>
      <c r="M24" s="114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4"/>
      <c r="Y24" s="114"/>
      <c r="Z24" s="115"/>
      <c r="AA24" s="114"/>
      <c r="AB24" s="114"/>
      <c r="AC24" s="115"/>
      <c r="AD24" s="116"/>
      <c r="AE24" s="114"/>
      <c r="AF24" s="114"/>
      <c r="AG24" s="114"/>
      <c r="AH24" s="1"/>
      <c r="AI24" s="95" t="str">
        <f aca="false">IF(INDEX($C:$C,24)&amp;INDEX($D:$D,24)="","",1)</f>
        <v/>
      </c>
      <c r="AJ24" s="95" t="str">
        <f aca="false">IF(OR(AI24="",INDEX($Z:$Z,24)="",INDEX($U:$U,24)="Declined"),"",1)</f>
        <v/>
      </c>
      <c r="AK24" s="95" t="str">
        <f aca="false">IF(AJ24="","",INDEX($Z:$Z,24)&amp;"-"&amp;COUNTIFS($Z$7:Z24,INDEX($Z:$Z,24),$AJ$7:AJ24,1))</f>
        <v/>
      </c>
      <c r="AL24" s="43" t="str">
        <f aca="false">IF(AI24="","",TRIM(INDEX($D:$D,24)&amp;" "&amp;INDEX($C:$C,24))&amp;IF(INDEX($I:$I,24)="Yes"," (child)",""))</f>
        <v/>
      </c>
      <c r="AM24" s="95" t="str">
        <f aca="false">IF(OR(AI24="",INDEX($X:$X,24)="",INDEX($U:$U,24)="Declined"),"",COUNTIFS($X$7:X24,"?*",$U$7:U24,"&lt;&gt;Declined",$AI$7:AI24,1))</f>
        <v/>
      </c>
      <c r="AN24" s="95" t="str">
        <f aca="false">IF(AI24="","",IF(INDEX($L:$L,24)="",1,IF(COUNTIF($L$7:L24,INDEX($L:$L,24))=1,1,"")))</f>
        <v/>
      </c>
      <c r="AO24" s="95" t="str">
        <f aca="false">IF(AN24&lt;&gt;1,"",IF(INDEX($L:$L,24)="",IF(INDEX($S:$S,24)="Yes",1,""),IF(COUNTIFS($L$7:$L$506,INDEX($L:$L,24),$S$7:$S$506,"Yes")&gt;0,1,"")))</f>
        <v/>
      </c>
      <c r="AP24" s="95" t="str">
        <f aca="false">IF(AN24&lt;&gt;1,"",IF(INDEX($L:$L,24)&lt;&gt;"",INDEX($L:$L,24),TRIM(INDEX($D:$D,24)&amp;" "&amp;INDEX($C:$C,24))))</f>
        <v/>
      </c>
      <c r="AQ24" s="43" t="str">
        <f aca="false">IF(OR(AI24="",INDEX($I:$I,24)="Yes"),"",1)</f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customFormat="false" ht="21.75" hidden="false" customHeight="true" outlineLevel="0" collapsed="false">
      <c r="A25" s="1"/>
      <c r="B25" s="113" t="str">
        <f aca="false">IF(AI25="","",COUNT($AI$7:AI25))</f>
        <v/>
      </c>
      <c r="C25" s="114"/>
      <c r="D25" s="114"/>
      <c r="E25" s="114"/>
      <c r="F25" s="114"/>
      <c r="G25" s="115"/>
      <c r="H25" s="115"/>
      <c r="I25" s="115"/>
      <c r="J25" s="115"/>
      <c r="K25" s="115"/>
      <c r="L25" s="114"/>
      <c r="M25" s="114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4"/>
      <c r="Y25" s="114"/>
      <c r="Z25" s="115"/>
      <c r="AA25" s="114"/>
      <c r="AB25" s="114"/>
      <c r="AC25" s="115"/>
      <c r="AD25" s="116"/>
      <c r="AE25" s="114"/>
      <c r="AF25" s="114"/>
      <c r="AG25" s="114"/>
      <c r="AH25" s="1"/>
      <c r="AI25" s="95" t="str">
        <f aca="false">IF(INDEX($C:$C,25)&amp;INDEX($D:$D,25)="","",1)</f>
        <v/>
      </c>
      <c r="AJ25" s="95" t="str">
        <f aca="false">IF(OR(AI25="",INDEX($Z:$Z,25)="",INDEX($U:$U,25)="Declined"),"",1)</f>
        <v/>
      </c>
      <c r="AK25" s="95" t="str">
        <f aca="false">IF(AJ25="","",INDEX($Z:$Z,25)&amp;"-"&amp;COUNTIFS($Z$7:Z25,INDEX($Z:$Z,25),$AJ$7:AJ25,1))</f>
        <v/>
      </c>
      <c r="AL25" s="43" t="str">
        <f aca="false">IF(AI25="","",TRIM(INDEX($D:$D,25)&amp;" "&amp;INDEX($C:$C,25))&amp;IF(INDEX($I:$I,25)="Yes"," (child)",""))</f>
        <v/>
      </c>
      <c r="AM25" s="95" t="str">
        <f aca="false">IF(OR(AI25="",INDEX($X:$X,25)="",INDEX($U:$U,25)="Declined"),"",COUNTIFS($X$7:X25,"?*",$U$7:U25,"&lt;&gt;Declined",$AI$7:AI25,1))</f>
        <v/>
      </c>
      <c r="AN25" s="95" t="str">
        <f aca="false">IF(AI25="","",IF(INDEX($L:$L,25)="",1,IF(COUNTIF($L$7:L25,INDEX($L:$L,25))=1,1,"")))</f>
        <v/>
      </c>
      <c r="AO25" s="95" t="str">
        <f aca="false">IF(AN25&lt;&gt;1,"",IF(INDEX($L:$L,25)="",IF(INDEX($S:$S,25)="Yes",1,""),IF(COUNTIFS($L$7:$L$506,INDEX($L:$L,25),$S$7:$S$506,"Yes")&gt;0,1,"")))</f>
        <v/>
      </c>
      <c r="AP25" s="95" t="str">
        <f aca="false">IF(AN25&lt;&gt;1,"",IF(INDEX($L:$L,25)&lt;&gt;"",INDEX($L:$L,25),TRIM(INDEX($D:$D,25)&amp;" "&amp;INDEX($C:$C,25))))</f>
        <v/>
      </c>
      <c r="AQ25" s="43" t="str">
        <f aca="false">IF(OR(AI25="",INDEX($I:$I,25)="Yes"),"",1)</f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customFormat="false" ht="21.75" hidden="false" customHeight="true" outlineLevel="0" collapsed="false">
      <c r="A26" s="1"/>
      <c r="B26" s="113" t="str">
        <f aca="false">IF(AI26="","",COUNT($AI$7:AI26))</f>
        <v/>
      </c>
      <c r="C26" s="114"/>
      <c r="D26" s="114"/>
      <c r="E26" s="114"/>
      <c r="F26" s="114"/>
      <c r="G26" s="115"/>
      <c r="H26" s="115"/>
      <c r="I26" s="115"/>
      <c r="J26" s="115"/>
      <c r="K26" s="115"/>
      <c r="L26" s="114"/>
      <c r="M26" s="114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4"/>
      <c r="Y26" s="114"/>
      <c r="Z26" s="115"/>
      <c r="AA26" s="114"/>
      <c r="AB26" s="114"/>
      <c r="AC26" s="115"/>
      <c r="AD26" s="116"/>
      <c r="AE26" s="114"/>
      <c r="AF26" s="114"/>
      <c r="AG26" s="114"/>
      <c r="AH26" s="1"/>
      <c r="AI26" s="95" t="str">
        <f aca="false">IF(INDEX($C:$C,26)&amp;INDEX($D:$D,26)="","",1)</f>
        <v/>
      </c>
      <c r="AJ26" s="95" t="str">
        <f aca="false">IF(OR(AI26="",INDEX($Z:$Z,26)="",INDEX($U:$U,26)="Declined"),"",1)</f>
        <v/>
      </c>
      <c r="AK26" s="95" t="str">
        <f aca="false">IF(AJ26="","",INDEX($Z:$Z,26)&amp;"-"&amp;COUNTIFS($Z$7:Z26,INDEX($Z:$Z,26),$AJ$7:AJ26,1))</f>
        <v/>
      </c>
      <c r="AL26" s="43" t="str">
        <f aca="false">IF(AI26="","",TRIM(INDEX($D:$D,26)&amp;" "&amp;INDEX($C:$C,26))&amp;IF(INDEX($I:$I,26)="Yes"," (child)",""))</f>
        <v/>
      </c>
      <c r="AM26" s="95" t="str">
        <f aca="false">IF(OR(AI26="",INDEX($X:$X,26)="",INDEX($U:$U,26)="Declined"),"",COUNTIFS($X$7:X26,"?*",$U$7:U26,"&lt;&gt;Declined",$AI$7:AI26,1))</f>
        <v/>
      </c>
      <c r="AN26" s="95" t="str">
        <f aca="false">IF(AI26="","",IF(INDEX($L:$L,26)="",1,IF(COUNTIF($L$7:L26,INDEX($L:$L,26))=1,1,"")))</f>
        <v/>
      </c>
      <c r="AO26" s="95" t="str">
        <f aca="false">IF(AN26&lt;&gt;1,"",IF(INDEX($L:$L,26)="",IF(INDEX($S:$S,26)="Yes",1,""),IF(COUNTIFS($L$7:$L$506,INDEX($L:$L,26),$S$7:$S$506,"Yes")&gt;0,1,"")))</f>
        <v/>
      </c>
      <c r="AP26" s="95" t="str">
        <f aca="false">IF(AN26&lt;&gt;1,"",IF(INDEX($L:$L,26)&lt;&gt;"",INDEX($L:$L,26),TRIM(INDEX($D:$D,26)&amp;" "&amp;INDEX($C:$C,26))))</f>
        <v/>
      </c>
      <c r="AQ26" s="43" t="str">
        <f aca="false">IF(OR(AI26="",INDEX($I:$I,26)="Yes"),"",1)</f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customFormat="false" ht="21.75" hidden="false" customHeight="true" outlineLevel="0" collapsed="false">
      <c r="A27" s="1"/>
      <c r="B27" s="113" t="str">
        <f aca="false">IF(AI27="","",COUNT($AI$7:AI27))</f>
        <v/>
      </c>
      <c r="C27" s="114"/>
      <c r="D27" s="114"/>
      <c r="E27" s="114"/>
      <c r="F27" s="114"/>
      <c r="G27" s="115"/>
      <c r="H27" s="115"/>
      <c r="I27" s="115"/>
      <c r="J27" s="115"/>
      <c r="K27" s="115"/>
      <c r="L27" s="114"/>
      <c r="M27" s="114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4"/>
      <c r="Y27" s="114"/>
      <c r="Z27" s="115"/>
      <c r="AA27" s="114"/>
      <c r="AB27" s="114"/>
      <c r="AC27" s="115"/>
      <c r="AD27" s="116"/>
      <c r="AE27" s="114"/>
      <c r="AF27" s="114"/>
      <c r="AG27" s="114"/>
      <c r="AH27" s="1"/>
      <c r="AI27" s="95" t="str">
        <f aca="false">IF(INDEX($C:$C,27)&amp;INDEX($D:$D,27)="","",1)</f>
        <v/>
      </c>
      <c r="AJ27" s="95" t="str">
        <f aca="false">IF(OR(AI27="",INDEX($Z:$Z,27)="",INDEX($U:$U,27)="Declined"),"",1)</f>
        <v/>
      </c>
      <c r="AK27" s="95" t="str">
        <f aca="false">IF(AJ27="","",INDEX($Z:$Z,27)&amp;"-"&amp;COUNTIFS($Z$7:Z27,INDEX($Z:$Z,27),$AJ$7:AJ27,1))</f>
        <v/>
      </c>
      <c r="AL27" s="43" t="str">
        <f aca="false">IF(AI27="","",TRIM(INDEX($D:$D,27)&amp;" "&amp;INDEX($C:$C,27))&amp;IF(INDEX($I:$I,27)="Yes"," (child)",""))</f>
        <v/>
      </c>
      <c r="AM27" s="95" t="str">
        <f aca="false">IF(OR(AI27="",INDEX($X:$X,27)="",INDEX($U:$U,27)="Declined"),"",COUNTIFS($X$7:X27,"?*",$U$7:U27,"&lt;&gt;Declined",$AI$7:AI27,1))</f>
        <v/>
      </c>
      <c r="AN27" s="95" t="str">
        <f aca="false">IF(AI27="","",IF(INDEX($L:$L,27)="",1,IF(COUNTIF($L$7:L27,INDEX($L:$L,27))=1,1,"")))</f>
        <v/>
      </c>
      <c r="AO27" s="95" t="str">
        <f aca="false">IF(AN27&lt;&gt;1,"",IF(INDEX($L:$L,27)="",IF(INDEX($S:$S,27)="Yes",1,""),IF(COUNTIFS($L$7:$L$506,INDEX($L:$L,27),$S$7:$S$506,"Yes")&gt;0,1,"")))</f>
        <v/>
      </c>
      <c r="AP27" s="95" t="str">
        <f aca="false">IF(AN27&lt;&gt;1,"",IF(INDEX($L:$L,27)&lt;&gt;"",INDEX($L:$L,27),TRIM(INDEX($D:$D,27)&amp;" "&amp;INDEX($C:$C,27))))</f>
        <v/>
      </c>
      <c r="AQ27" s="43" t="str">
        <f aca="false">IF(OR(AI27="",INDEX($I:$I,27)="Yes"),"",1)</f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customFormat="false" ht="21.75" hidden="false" customHeight="true" outlineLevel="0" collapsed="false">
      <c r="A28" s="1"/>
      <c r="B28" s="113" t="str">
        <f aca="false">IF(AI28="","",COUNT($AI$7:AI28))</f>
        <v/>
      </c>
      <c r="C28" s="114"/>
      <c r="D28" s="114"/>
      <c r="E28" s="114"/>
      <c r="F28" s="114"/>
      <c r="G28" s="115"/>
      <c r="H28" s="115"/>
      <c r="I28" s="115"/>
      <c r="J28" s="115"/>
      <c r="K28" s="115"/>
      <c r="L28" s="114"/>
      <c r="M28" s="114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4"/>
      <c r="Y28" s="114"/>
      <c r="Z28" s="115"/>
      <c r="AA28" s="114"/>
      <c r="AB28" s="114"/>
      <c r="AC28" s="115"/>
      <c r="AD28" s="116"/>
      <c r="AE28" s="114"/>
      <c r="AF28" s="114"/>
      <c r="AG28" s="114"/>
      <c r="AH28" s="1"/>
      <c r="AI28" s="95" t="str">
        <f aca="false">IF(INDEX($C:$C,28)&amp;INDEX($D:$D,28)="","",1)</f>
        <v/>
      </c>
      <c r="AJ28" s="95" t="str">
        <f aca="false">IF(OR(AI28="",INDEX($Z:$Z,28)="",INDEX($U:$U,28)="Declined"),"",1)</f>
        <v/>
      </c>
      <c r="AK28" s="95" t="str">
        <f aca="false">IF(AJ28="","",INDEX($Z:$Z,28)&amp;"-"&amp;COUNTIFS($Z$7:Z28,INDEX($Z:$Z,28),$AJ$7:AJ28,1))</f>
        <v/>
      </c>
      <c r="AL28" s="43" t="str">
        <f aca="false">IF(AI28="","",TRIM(INDEX($D:$D,28)&amp;" "&amp;INDEX($C:$C,28))&amp;IF(INDEX($I:$I,28)="Yes"," (child)",""))</f>
        <v/>
      </c>
      <c r="AM28" s="95" t="str">
        <f aca="false">IF(OR(AI28="",INDEX($X:$X,28)="",INDEX($U:$U,28)="Declined"),"",COUNTIFS($X$7:X28,"?*",$U$7:U28,"&lt;&gt;Declined",$AI$7:AI28,1))</f>
        <v/>
      </c>
      <c r="AN28" s="95" t="str">
        <f aca="false">IF(AI28="","",IF(INDEX($L:$L,28)="",1,IF(COUNTIF($L$7:L28,INDEX($L:$L,28))=1,1,"")))</f>
        <v/>
      </c>
      <c r="AO28" s="95" t="str">
        <f aca="false">IF(AN28&lt;&gt;1,"",IF(INDEX($L:$L,28)="",IF(INDEX($S:$S,28)="Yes",1,""),IF(COUNTIFS($L$7:$L$506,INDEX($L:$L,28),$S$7:$S$506,"Yes")&gt;0,1,"")))</f>
        <v/>
      </c>
      <c r="AP28" s="95" t="str">
        <f aca="false">IF(AN28&lt;&gt;1,"",IF(INDEX($L:$L,28)&lt;&gt;"",INDEX($L:$L,28),TRIM(INDEX($D:$D,28)&amp;" "&amp;INDEX($C:$C,28))))</f>
        <v/>
      </c>
      <c r="AQ28" s="43" t="str">
        <f aca="false">IF(OR(AI28="",INDEX($I:$I,28)="Yes"),"",1)</f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customFormat="false" ht="21.75" hidden="false" customHeight="true" outlineLevel="0" collapsed="false">
      <c r="A29" s="1"/>
      <c r="B29" s="113" t="str">
        <f aca="false">IF(AI29="","",COUNT($AI$7:AI29))</f>
        <v/>
      </c>
      <c r="C29" s="114"/>
      <c r="D29" s="114"/>
      <c r="E29" s="114"/>
      <c r="F29" s="114"/>
      <c r="G29" s="115"/>
      <c r="H29" s="115"/>
      <c r="I29" s="115"/>
      <c r="J29" s="115"/>
      <c r="K29" s="115"/>
      <c r="L29" s="114"/>
      <c r="M29" s="114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4"/>
      <c r="Y29" s="114"/>
      <c r="Z29" s="115"/>
      <c r="AA29" s="114"/>
      <c r="AB29" s="114"/>
      <c r="AC29" s="115"/>
      <c r="AD29" s="116"/>
      <c r="AE29" s="114"/>
      <c r="AF29" s="114"/>
      <c r="AG29" s="114"/>
      <c r="AH29" s="1"/>
      <c r="AI29" s="95" t="str">
        <f aca="false">IF(INDEX($C:$C,29)&amp;INDEX($D:$D,29)="","",1)</f>
        <v/>
      </c>
      <c r="AJ29" s="95" t="str">
        <f aca="false">IF(OR(AI29="",INDEX($Z:$Z,29)="",INDEX($U:$U,29)="Declined"),"",1)</f>
        <v/>
      </c>
      <c r="AK29" s="95" t="str">
        <f aca="false">IF(AJ29="","",INDEX($Z:$Z,29)&amp;"-"&amp;COUNTIFS($Z$7:Z29,INDEX($Z:$Z,29),$AJ$7:AJ29,1))</f>
        <v/>
      </c>
      <c r="AL29" s="43" t="str">
        <f aca="false">IF(AI29="","",TRIM(INDEX($D:$D,29)&amp;" "&amp;INDEX($C:$C,29))&amp;IF(INDEX($I:$I,29)="Yes"," (child)",""))</f>
        <v/>
      </c>
      <c r="AM29" s="95" t="str">
        <f aca="false">IF(OR(AI29="",INDEX($X:$X,29)="",INDEX($U:$U,29)="Declined"),"",COUNTIFS($X$7:X29,"?*",$U$7:U29,"&lt;&gt;Declined",$AI$7:AI29,1))</f>
        <v/>
      </c>
      <c r="AN29" s="95" t="str">
        <f aca="false">IF(AI29="","",IF(INDEX($L:$L,29)="",1,IF(COUNTIF($L$7:L29,INDEX($L:$L,29))=1,1,"")))</f>
        <v/>
      </c>
      <c r="AO29" s="95" t="str">
        <f aca="false">IF(AN29&lt;&gt;1,"",IF(INDEX($L:$L,29)="",IF(INDEX($S:$S,29)="Yes",1,""),IF(COUNTIFS($L$7:$L$506,INDEX($L:$L,29),$S$7:$S$506,"Yes")&gt;0,1,"")))</f>
        <v/>
      </c>
      <c r="AP29" s="95" t="str">
        <f aca="false">IF(AN29&lt;&gt;1,"",IF(INDEX($L:$L,29)&lt;&gt;"",INDEX($L:$L,29),TRIM(INDEX($D:$D,29)&amp;" "&amp;INDEX($C:$C,29))))</f>
        <v/>
      </c>
      <c r="AQ29" s="43" t="str">
        <f aca="false">IF(OR(AI29="",INDEX($I:$I,29)="Yes"),"",1)</f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customFormat="false" ht="21.75" hidden="false" customHeight="true" outlineLevel="0" collapsed="false">
      <c r="A30" s="1"/>
      <c r="B30" s="113" t="str">
        <f aca="false">IF(AI30="","",COUNT($AI$7:AI30))</f>
        <v/>
      </c>
      <c r="C30" s="114"/>
      <c r="D30" s="114"/>
      <c r="E30" s="114"/>
      <c r="F30" s="114"/>
      <c r="G30" s="115"/>
      <c r="H30" s="115"/>
      <c r="I30" s="115"/>
      <c r="J30" s="115"/>
      <c r="K30" s="115"/>
      <c r="L30" s="114"/>
      <c r="M30" s="114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4"/>
      <c r="Y30" s="114"/>
      <c r="Z30" s="115"/>
      <c r="AA30" s="114"/>
      <c r="AB30" s="114"/>
      <c r="AC30" s="115"/>
      <c r="AD30" s="116"/>
      <c r="AE30" s="114"/>
      <c r="AF30" s="114"/>
      <c r="AG30" s="114"/>
      <c r="AH30" s="1"/>
      <c r="AI30" s="95" t="str">
        <f aca="false">IF(INDEX($C:$C,30)&amp;INDEX($D:$D,30)="","",1)</f>
        <v/>
      </c>
      <c r="AJ30" s="95" t="str">
        <f aca="false">IF(OR(AI30="",INDEX($Z:$Z,30)="",INDEX($U:$U,30)="Declined"),"",1)</f>
        <v/>
      </c>
      <c r="AK30" s="95" t="str">
        <f aca="false">IF(AJ30="","",INDEX($Z:$Z,30)&amp;"-"&amp;COUNTIFS($Z$7:Z30,INDEX($Z:$Z,30),$AJ$7:AJ30,1))</f>
        <v/>
      </c>
      <c r="AL30" s="43" t="str">
        <f aca="false">IF(AI30="","",TRIM(INDEX($D:$D,30)&amp;" "&amp;INDEX($C:$C,30))&amp;IF(INDEX($I:$I,30)="Yes"," (child)",""))</f>
        <v/>
      </c>
      <c r="AM30" s="95" t="str">
        <f aca="false">IF(OR(AI30="",INDEX($X:$X,30)="",INDEX($U:$U,30)="Declined"),"",COUNTIFS($X$7:X30,"?*",$U$7:U30,"&lt;&gt;Declined",$AI$7:AI30,1))</f>
        <v/>
      </c>
      <c r="AN30" s="95" t="str">
        <f aca="false">IF(AI30="","",IF(INDEX($L:$L,30)="",1,IF(COUNTIF($L$7:L30,INDEX($L:$L,30))=1,1,"")))</f>
        <v/>
      </c>
      <c r="AO30" s="95" t="str">
        <f aca="false">IF(AN30&lt;&gt;1,"",IF(INDEX($L:$L,30)="",IF(INDEX($S:$S,30)="Yes",1,""),IF(COUNTIFS($L$7:$L$506,INDEX($L:$L,30),$S$7:$S$506,"Yes")&gt;0,1,"")))</f>
        <v/>
      </c>
      <c r="AP30" s="95" t="str">
        <f aca="false">IF(AN30&lt;&gt;1,"",IF(INDEX($L:$L,30)&lt;&gt;"",INDEX($L:$L,30),TRIM(INDEX($D:$D,30)&amp;" "&amp;INDEX($C:$C,30))))</f>
        <v/>
      </c>
      <c r="AQ30" s="43" t="str">
        <f aca="false">IF(OR(AI30="",INDEX($I:$I,30)="Yes"),"",1)</f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customFormat="false" ht="21.75" hidden="false" customHeight="true" outlineLevel="0" collapsed="false">
      <c r="A31" s="1"/>
      <c r="B31" s="113" t="str">
        <f aca="false">IF(AI31="","",COUNT($AI$7:AI31))</f>
        <v/>
      </c>
      <c r="C31" s="114"/>
      <c r="D31" s="114"/>
      <c r="E31" s="114"/>
      <c r="F31" s="114"/>
      <c r="G31" s="115"/>
      <c r="H31" s="115"/>
      <c r="I31" s="115"/>
      <c r="J31" s="115"/>
      <c r="K31" s="115"/>
      <c r="L31" s="114"/>
      <c r="M31" s="114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4"/>
      <c r="Y31" s="114"/>
      <c r="Z31" s="115"/>
      <c r="AA31" s="114"/>
      <c r="AB31" s="114"/>
      <c r="AC31" s="115"/>
      <c r="AD31" s="116"/>
      <c r="AE31" s="114"/>
      <c r="AF31" s="114"/>
      <c r="AG31" s="114"/>
      <c r="AH31" s="1"/>
      <c r="AI31" s="95" t="str">
        <f aca="false">IF(INDEX($C:$C,31)&amp;INDEX($D:$D,31)="","",1)</f>
        <v/>
      </c>
      <c r="AJ31" s="95" t="str">
        <f aca="false">IF(OR(AI31="",INDEX($Z:$Z,31)="",INDEX($U:$U,31)="Declined"),"",1)</f>
        <v/>
      </c>
      <c r="AK31" s="95" t="str">
        <f aca="false">IF(AJ31="","",INDEX($Z:$Z,31)&amp;"-"&amp;COUNTIFS($Z$7:Z31,INDEX($Z:$Z,31),$AJ$7:AJ31,1))</f>
        <v/>
      </c>
      <c r="AL31" s="43" t="str">
        <f aca="false">IF(AI31="","",TRIM(INDEX($D:$D,31)&amp;" "&amp;INDEX($C:$C,31))&amp;IF(INDEX($I:$I,31)="Yes"," (child)",""))</f>
        <v/>
      </c>
      <c r="AM31" s="95" t="str">
        <f aca="false">IF(OR(AI31="",INDEX($X:$X,31)="",INDEX($U:$U,31)="Declined"),"",COUNTIFS($X$7:X31,"?*",$U$7:U31,"&lt;&gt;Declined",$AI$7:AI31,1))</f>
        <v/>
      </c>
      <c r="AN31" s="95" t="str">
        <f aca="false">IF(AI31="","",IF(INDEX($L:$L,31)="",1,IF(COUNTIF($L$7:L31,INDEX($L:$L,31))=1,1,"")))</f>
        <v/>
      </c>
      <c r="AO31" s="95" t="str">
        <f aca="false">IF(AN31&lt;&gt;1,"",IF(INDEX($L:$L,31)="",IF(INDEX($S:$S,31)="Yes",1,""),IF(COUNTIFS($L$7:$L$506,INDEX($L:$L,31),$S$7:$S$506,"Yes")&gt;0,1,"")))</f>
        <v/>
      </c>
      <c r="AP31" s="95" t="str">
        <f aca="false">IF(AN31&lt;&gt;1,"",IF(INDEX($L:$L,31)&lt;&gt;"",INDEX($L:$L,31),TRIM(INDEX($D:$D,31)&amp;" "&amp;INDEX($C:$C,31))))</f>
        <v/>
      </c>
      <c r="AQ31" s="43" t="str">
        <f aca="false">IF(OR(AI31="",INDEX($I:$I,31)="Yes"),"",1)</f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customFormat="false" ht="21.75" hidden="false" customHeight="true" outlineLevel="0" collapsed="false">
      <c r="A32" s="1"/>
      <c r="B32" s="113" t="str">
        <f aca="false">IF(AI32="","",COUNT($AI$7:AI32))</f>
        <v/>
      </c>
      <c r="C32" s="114"/>
      <c r="D32" s="114"/>
      <c r="E32" s="114"/>
      <c r="F32" s="114"/>
      <c r="G32" s="115"/>
      <c r="H32" s="115"/>
      <c r="I32" s="115"/>
      <c r="J32" s="115"/>
      <c r="K32" s="115"/>
      <c r="L32" s="114"/>
      <c r="M32" s="114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4"/>
      <c r="Y32" s="114"/>
      <c r="Z32" s="115"/>
      <c r="AA32" s="114"/>
      <c r="AB32" s="114"/>
      <c r="AC32" s="115"/>
      <c r="AD32" s="116"/>
      <c r="AE32" s="114"/>
      <c r="AF32" s="114"/>
      <c r="AG32" s="114"/>
      <c r="AH32" s="1"/>
      <c r="AI32" s="95" t="str">
        <f aca="false">IF(INDEX($C:$C,32)&amp;INDEX($D:$D,32)="","",1)</f>
        <v/>
      </c>
      <c r="AJ32" s="95" t="str">
        <f aca="false">IF(OR(AI32="",INDEX($Z:$Z,32)="",INDEX($U:$U,32)="Declined"),"",1)</f>
        <v/>
      </c>
      <c r="AK32" s="95" t="str">
        <f aca="false">IF(AJ32="","",INDEX($Z:$Z,32)&amp;"-"&amp;COUNTIFS($Z$7:Z32,INDEX($Z:$Z,32),$AJ$7:AJ32,1))</f>
        <v/>
      </c>
      <c r="AL32" s="43" t="str">
        <f aca="false">IF(AI32="","",TRIM(INDEX($D:$D,32)&amp;" "&amp;INDEX($C:$C,32))&amp;IF(INDEX($I:$I,32)="Yes"," (child)",""))</f>
        <v/>
      </c>
      <c r="AM32" s="95" t="str">
        <f aca="false">IF(OR(AI32="",INDEX($X:$X,32)="",INDEX($U:$U,32)="Declined"),"",COUNTIFS($X$7:X32,"?*",$U$7:U32,"&lt;&gt;Declined",$AI$7:AI32,1))</f>
        <v/>
      </c>
      <c r="AN32" s="95" t="str">
        <f aca="false">IF(AI32="","",IF(INDEX($L:$L,32)="",1,IF(COUNTIF($L$7:L32,INDEX($L:$L,32))=1,1,"")))</f>
        <v/>
      </c>
      <c r="AO32" s="95" t="str">
        <f aca="false">IF(AN32&lt;&gt;1,"",IF(INDEX($L:$L,32)="",IF(INDEX($S:$S,32)="Yes",1,""),IF(COUNTIFS($L$7:$L$506,INDEX($L:$L,32),$S$7:$S$506,"Yes")&gt;0,1,"")))</f>
        <v/>
      </c>
      <c r="AP32" s="95" t="str">
        <f aca="false">IF(AN32&lt;&gt;1,"",IF(INDEX($L:$L,32)&lt;&gt;"",INDEX($L:$L,32),TRIM(INDEX($D:$D,32)&amp;" "&amp;INDEX($C:$C,32))))</f>
        <v/>
      </c>
      <c r="AQ32" s="43" t="str">
        <f aca="false">IF(OR(AI32="",INDEX($I:$I,32)="Yes"),"",1)</f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customFormat="false" ht="21.75" hidden="false" customHeight="true" outlineLevel="0" collapsed="false">
      <c r="A33" s="1"/>
      <c r="B33" s="113" t="str">
        <f aca="false">IF(AI33="","",COUNT($AI$7:AI33))</f>
        <v/>
      </c>
      <c r="C33" s="114"/>
      <c r="D33" s="114"/>
      <c r="E33" s="114"/>
      <c r="F33" s="114"/>
      <c r="G33" s="115"/>
      <c r="H33" s="115"/>
      <c r="I33" s="115"/>
      <c r="J33" s="115"/>
      <c r="K33" s="115"/>
      <c r="L33" s="114"/>
      <c r="M33" s="114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4"/>
      <c r="Y33" s="114"/>
      <c r="Z33" s="115"/>
      <c r="AA33" s="114"/>
      <c r="AB33" s="114"/>
      <c r="AC33" s="115"/>
      <c r="AD33" s="116"/>
      <c r="AE33" s="114"/>
      <c r="AF33" s="114"/>
      <c r="AG33" s="114"/>
      <c r="AH33" s="1"/>
      <c r="AI33" s="95" t="str">
        <f aca="false">IF(INDEX($C:$C,33)&amp;INDEX($D:$D,33)="","",1)</f>
        <v/>
      </c>
      <c r="AJ33" s="95" t="str">
        <f aca="false">IF(OR(AI33="",INDEX($Z:$Z,33)="",INDEX($U:$U,33)="Declined"),"",1)</f>
        <v/>
      </c>
      <c r="AK33" s="95" t="str">
        <f aca="false">IF(AJ33="","",INDEX($Z:$Z,33)&amp;"-"&amp;COUNTIFS($Z$7:Z33,INDEX($Z:$Z,33),$AJ$7:AJ33,1))</f>
        <v/>
      </c>
      <c r="AL33" s="43" t="str">
        <f aca="false">IF(AI33="","",TRIM(INDEX($D:$D,33)&amp;" "&amp;INDEX($C:$C,33))&amp;IF(INDEX($I:$I,33)="Yes"," (child)",""))</f>
        <v/>
      </c>
      <c r="AM33" s="95" t="str">
        <f aca="false">IF(OR(AI33="",INDEX($X:$X,33)="",INDEX($U:$U,33)="Declined"),"",COUNTIFS($X$7:X33,"?*",$U$7:U33,"&lt;&gt;Declined",$AI$7:AI33,1))</f>
        <v/>
      </c>
      <c r="AN33" s="95" t="str">
        <f aca="false">IF(AI33="","",IF(INDEX($L:$L,33)="",1,IF(COUNTIF($L$7:L33,INDEX($L:$L,33))=1,1,"")))</f>
        <v/>
      </c>
      <c r="AO33" s="95" t="str">
        <f aca="false">IF(AN33&lt;&gt;1,"",IF(INDEX($L:$L,33)="",IF(INDEX($S:$S,33)="Yes",1,""),IF(COUNTIFS($L$7:$L$506,INDEX($L:$L,33),$S$7:$S$506,"Yes")&gt;0,1,"")))</f>
        <v/>
      </c>
      <c r="AP33" s="95" t="str">
        <f aca="false">IF(AN33&lt;&gt;1,"",IF(INDEX($L:$L,33)&lt;&gt;"",INDEX($L:$L,33),TRIM(INDEX($D:$D,33)&amp;" "&amp;INDEX($C:$C,33))))</f>
        <v/>
      </c>
      <c r="AQ33" s="43" t="str">
        <f aca="false">IF(OR(AI33="",INDEX($I:$I,33)="Yes"),"",1)</f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customFormat="false" ht="21.75" hidden="false" customHeight="true" outlineLevel="0" collapsed="false">
      <c r="A34" s="1"/>
      <c r="B34" s="113" t="str">
        <f aca="false">IF(AI34="","",COUNT($AI$7:AI34))</f>
        <v/>
      </c>
      <c r="C34" s="114"/>
      <c r="D34" s="114"/>
      <c r="E34" s="114"/>
      <c r="F34" s="114"/>
      <c r="G34" s="115"/>
      <c r="H34" s="115"/>
      <c r="I34" s="115"/>
      <c r="J34" s="115"/>
      <c r="K34" s="115"/>
      <c r="L34" s="114"/>
      <c r="M34" s="114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4"/>
      <c r="Y34" s="114"/>
      <c r="Z34" s="115"/>
      <c r="AA34" s="114"/>
      <c r="AB34" s="114"/>
      <c r="AC34" s="115"/>
      <c r="AD34" s="116"/>
      <c r="AE34" s="114"/>
      <c r="AF34" s="114"/>
      <c r="AG34" s="114"/>
      <c r="AH34" s="1"/>
      <c r="AI34" s="95" t="str">
        <f aca="false">IF(INDEX($C:$C,34)&amp;INDEX($D:$D,34)="","",1)</f>
        <v/>
      </c>
      <c r="AJ34" s="95" t="str">
        <f aca="false">IF(OR(AI34="",INDEX($Z:$Z,34)="",INDEX($U:$U,34)="Declined"),"",1)</f>
        <v/>
      </c>
      <c r="AK34" s="95" t="str">
        <f aca="false">IF(AJ34="","",INDEX($Z:$Z,34)&amp;"-"&amp;COUNTIFS($Z$7:Z34,INDEX($Z:$Z,34),$AJ$7:AJ34,1))</f>
        <v/>
      </c>
      <c r="AL34" s="43" t="str">
        <f aca="false">IF(AI34="","",TRIM(INDEX($D:$D,34)&amp;" "&amp;INDEX($C:$C,34))&amp;IF(INDEX($I:$I,34)="Yes"," (child)",""))</f>
        <v/>
      </c>
      <c r="AM34" s="95" t="str">
        <f aca="false">IF(OR(AI34="",INDEX($X:$X,34)="",INDEX($U:$U,34)="Declined"),"",COUNTIFS($X$7:X34,"?*",$U$7:U34,"&lt;&gt;Declined",$AI$7:AI34,1))</f>
        <v/>
      </c>
      <c r="AN34" s="95" t="str">
        <f aca="false">IF(AI34="","",IF(INDEX($L:$L,34)="",1,IF(COUNTIF($L$7:L34,INDEX($L:$L,34))=1,1,"")))</f>
        <v/>
      </c>
      <c r="AO34" s="95" t="str">
        <f aca="false">IF(AN34&lt;&gt;1,"",IF(INDEX($L:$L,34)="",IF(INDEX($S:$S,34)="Yes",1,""),IF(COUNTIFS($L$7:$L$506,INDEX($L:$L,34),$S$7:$S$506,"Yes")&gt;0,1,"")))</f>
        <v/>
      </c>
      <c r="AP34" s="95" t="str">
        <f aca="false">IF(AN34&lt;&gt;1,"",IF(INDEX($L:$L,34)&lt;&gt;"",INDEX($L:$L,34),TRIM(INDEX($D:$D,34)&amp;" "&amp;INDEX($C:$C,34))))</f>
        <v/>
      </c>
      <c r="AQ34" s="43" t="str">
        <f aca="false">IF(OR(AI34="",INDEX($I:$I,34)="Yes"),"",1)</f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customFormat="false" ht="21.75" hidden="false" customHeight="true" outlineLevel="0" collapsed="false">
      <c r="A35" s="1"/>
      <c r="B35" s="113" t="str">
        <f aca="false">IF(AI35="","",COUNT($AI$7:AI35))</f>
        <v/>
      </c>
      <c r="C35" s="114"/>
      <c r="D35" s="114"/>
      <c r="E35" s="114"/>
      <c r="F35" s="114"/>
      <c r="G35" s="115"/>
      <c r="H35" s="115"/>
      <c r="I35" s="115"/>
      <c r="J35" s="115"/>
      <c r="K35" s="115"/>
      <c r="L35" s="114"/>
      <c r="M35" s="114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4"/>
      <c r="Y35" s="114"/>
      <c r="Z35" s="115"/>
      <c r="AA35" s="114"/>
      <c r="AB35" s="114"/>
      <c r="AC35" s="115"/>
      <c r="AD35" s="116"/>
      <c r="AE35" s="114"/>
      <c r="AF35" s="114"/>
      <c r="AG35" s="114"/>
      <c r="AH35" s="1"/>
      <c r="AI35" s="95" t="str">
        <f aca="false">IF(INDEX($C:$C,35)&amp;INDEX($D:$D,35)="","",1)</f>
        <v/>
      </c>
      <c r="AJ35" s="95" t="str">
        <f aca="false">IF(OR(AI35="",INDEX($Z:$Z,35)="",INDEX($U:$U,35)="Declined"),"",1)</f>
        <v/>
      </c>
      <c r="AK35" s="95" t="str">
        <f aca="false">IF(AJ35="","",INDEX($Z:$Z,35)&amp;"-"&amp;COUNTIFS($Z$7:Z35,INDEX($Z:$Z,35),$AJ$7:AJ35,1))</f>
        <v/>
      </c>
      <c r="AL35" s="43" t="str">
        <f aca="false">IF(AI35="","",TRIM(INDEX($D:$D,35)&amp;" "&amp;INDEX($C:$C,35))&amp;IF(INDEX($I:$I,35)="Yes"," (child)",""))</f>
        <v/>
      </c>
      <c r="AM35" s="95" t="str">
        <f aca="false">IF(OR(AI35="",INDEX($X:$X,35)="",INDEX($U:$U,35)="Declined"),"",COUNTIFS($X$7:X35,"?*",$U$7:U35,"&lt;&gt;Declined",$AI$7:AI35,1))</f>
        <v/>
      </c>
      <c r="AN35" s="95" t="str">
        <f aca="false">IF(AI35="","",IF(INDEX($L:$L,35)="",1,IF(COUNTIF($L$7:L35,INDEX($L:$L,35))=1,1,"")))</f>
        <v/>
      </c>
      <c r="AO35" s="95" t="str">
        <f aca="false">IF(AN35&lt;&gt;1,"",IF(INDEX($L:$L,35)="",IF(INDEX($S:$S,35)="Yes",1,""),IF(COUNTIFS($L$7:$L$506,INDEX($L:$L,35),$S$7:$S$506,"Yes")&gt;0,1,"")))</f>
        <v/>
      </c>
      <c r="AP35" s="95" t="str">
        <f aca="false">IF(AN35&lt;&gt;1,"",IF(INDEX($L:$L,35)&lt;&gt;"",INDEX($L:$L,35),TRIM(INDEX($D:$D,35)&amp;" "&amp;INDEX($C:$C,35))))</f>
        <v/>
      </c>
      <c r="AQ35" s="43" t="str">
        <f aca="false">IF(OR(AI35="",INDEX($I:$I,35)="Yes"),"",1)</f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customFormat="false" ht="21.75" hidden="false" customHeight="true" outlineLevel="0" collapsed="false">
      <c r="A36" s="1"/>
      <c r="B36" s="113" t="str">
        <f aca="false">IF(AI36="","",COUNT($AI$7:AI36))</f>
        <v/>
      </c>
      <c r="C36" s="114"/>
      <c r="D36" s="114"/>
      <c r="E36" s="114"/>
      <c r="F36" s="114"/>
      <c r="G36" s="115"/>
      <c r="H36" s="115"/>
      <c r="I36" s="115"/>
      <c r="J36" s="115"/>
      <c r="K36" s="115"/>
      <c r="L36" s="114"/>
      <c r="M36" s="114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4"/>
      <c r="Y36" s="114"/>
      <c r="Z36" s="115"/>
      <c r="AA36" s="114"/>
      <c r="AB36" s="114"/>
      <c r="AC36" s="115"/>
      <c r="AD36" s="116"/>
      <c r="AE36" s="114"/>
      <c r="AF36" s="114"/>
      <c r="AG36" s="114"/>
      <c r="AH36" s="1"/>
      <c r="AI36" s="95" t="str">
        <f aca="false">IF(INDEX($C:$C,36)&amp;INDEX($D:$D,36)="","",1)</f>
        <v/>
      </c>
      <c r="AJ36" s="95" t="str">
        <f aca="false">IF(OR(AI36="",INDEX($Z:$Z,36)="",INDEX($U:$U,36)="Declined"),"",1)</f>
        <v/>
      </c>
      <c r="AK36" s="95" t="str">
        <f aca="false">IF(AJ36="","",INDEX($Z:$Z,36)&amp;"-"&amp;COUNTIFS($Z$7:Z36,INDEX($Z:$Z,36),$AJ$7:AJ36,1))</f>
        <v/>
      </c>
      <c r="AL36" s="43" t="str">
        <f aca="false">IF(AI36="","",TRIM(INDEX($D:$D,36)&amp;" "&amp;INDEX($C:$C,36))&amp;IF(INDEX($I:$I,36)="Yes"," (child)",""))</f>
        <v/>
      </c>
      <c r="AM36" s="95" t="str">
        <f aca="false">IF(OR(AI36="",INDEX($X:$X,36)="",INDEX($U:$U,36)="Declined"),"",COUNTIFS($X$7:X36,"?*",$U$7:U36,"&lt;&gt;Declined",$AI$7:AI36,1))</f>
        <v/>
      </c>
      <c r="AN36" s="95" t="str">
        <f aca="false">IF(AI36="","",IF(INDEX($L:$L,36)="",1,IF(COUNTIF($L$7:L36,INDEX($L:$L,36))=1,1,"")))</f>
        <v/>
      </c>
      <c r="AO36" s="95" t="str">
        <f aca="false">IF(AN36&lt;&gt;1,"",IF(INDEX($L:$L,36)="",IF(INDEX($S:$S,36)="Yes",1,""),IF(COUNTIFS($L$7:$L$506,INDEX($L:$L,36),$S$7:$S$506,"Yes")&gt;0,1,"")))</f>
        <v/>
      </c>
      <c r="AP36" s="95" t="str">
        <f aca="false">IF(AN36&lt;&gt;1,"",IF(INDEX($L:$L,36)&lt;&gt;"",INDEX($L:$L,36),TRIM(INDEX($D:$D,36)&amp;" "&amp;INDEX($C:$C,36))))</f>
        <v/>
      </c>
      <c r="AQ36" s="43" t="str">
        <f aca="false">IF(OR(AI36="",INDEX($I:$I,36)="Yes"),"",1)</f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customFormat="false" ht="21.75" hidden="false" customHeight="true" outlineLevel="0" collapsed="false">
      <c r="A37" s="1"/>
      <c r="B37" s="113" t="str">
        <f aca="false">IF(AI37="","",COUNT($AI$7:AI37))</f>
        <v/>
      </c>
      <c r="C37" s="114"/>
      <c r="D37" s="114"/>
      <c r="E37" s="114"/>
      <c r="F37" s="114"/>
      <c r="G37" s="115"/>
      <c r="H37" s="115"/>
      <c r="I37" s="115"/>
      <c r="J37" s="115"/>
      <c r="K37" s="115"/>
      <c r="L37" s="114"/>
      <c r="M37" s="114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4"/>
      <c r="Y37" s="114"/>
      <c r="Z37" s="115"/>
      <c r="AA37" s="114"/>
      <c r="AB37" s="114"/>
      <c r="AC37" s="115"/>
      <c r="AD37" s="116"/>
      <c r="AE37" s="114"/>
      <c r="AF37" s="114"/>
      <c r="AG37" s="114"/>
      <c r="AH37" s="1"/>
      <c r="AI37" s="95" t="str">
        <f aca="false">IF(INDEX($C:$C,37)&amp;INDEX($D:$D,37)="","",1)</f>
        <v/>
      </c>
      <c r="AJ37" s="95" t="str">
        <f aca="false">IF(OR(AI37="",INDEX($Z:$Z,37)="",INDEX($U:$U,37)="Declined"),"",1)</f>
        <v/>
      </c>
      <c r="AK37" s="95" t="str">
        <f aca="false">IF(AJ37="","",INDEX($Z:$Z,37)&amp;"-"&amp;COUNTIFS($Z$7:Z37,INDEX($Z:$Z,37),$AJ$7:AJ37,1))</f>
        <v/>
      </c>
      <c r="AL37" s="43" t="str">
        <f aca="false">IF(AI37="","",TRIM(INDEX($D:$D,37)&amp;" "&amp;INDEX($C:$C,37))&amp;IF(INDEX($I:$I,37)="Yes"," (child)",""))</f>
        <v/>
      </c>
      <c r="AM37" s="95" t="str">
        <f aca="false">IF(OR(AI37="",INDEX($X:$X,37)="",INDEX($U:$U,37)="Declined"),"",COUNTIFS($X$7:X37,"?*",$U$7:U37,"&lt;&gt;Declined",$AI$7:AI37,1))</f>
        <v/>
      </c>
      <c r="AN37" s="95" t="str">
        <f aca="false">IF(AI37="","",IF(INDEX($L:$L,37)="",1,IF(COUNTIF($L$7:L37,INDEX($L:$L,37))=1,1,"")))</f>
        <v/>
      </c>
      <c r="AO37" s="95" t="str">
        <f aca="false">IF(AN37&lt;&gt;1,"",IF(INDEX($L:$L,37)="",IF(INDEX($S:$S,37)="Yes",1,""),IF(COUNTIFS($L$7:$L$506,INDEX($L:$L,37),$S$7:$S$506,"Yes")&gt;0,1,"")))</f>
        <v/>
      </c>
      <c r="AP37" s="95" t="str">
        <f aca="false">IF(AN37&lt;&gt;1,"",IF(INDEX($L:$L,37)&lt;&gt;"",INDEX($L:$L,37),TRIM(INDEX($D:$D,37)&amp;" "&amp;INDEX($C:$C,37))))</f>
        <v/>
      </c>
      <c r="AQ37" s="43" t="str">
        <f aca="false">IF(OR(AI37="",INDEX($I:$I,37)="Yes"),"",1)</f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customFormat="false" ht="21.75" hidden="false" customHeight="true" outlineLevel="0" collapsed="false">
      <c r="A38" s="1"/>
      <c r="B38" s="113" t="str">
        <f aca="false">IF(AI38="","",COUNT($AI$7:AI38))</f>
        <v/>
      </c>
      <c r="C38" s="114"/>
      <c r="D38" s="114"/>
      <c r="E38" s="114"/>
      <c r="F38" s="114"/>
      <c r="G38" s="115"/>
      <c r="H38" s="115"/>
      <c r="I38" s="115"/>
      <c r="J38" s="115"/>
      <c r="K38" s="115"/>
      <c r="L38" s="114"/>
      <c r="M38" s="114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4"/>
      <c r="Y38" s="114"/>
      <c r="Z38" s="115"/>
      <c r="AA38" s="114"/>
      <c r="AB38" s="114"/>
      <c r="AC38" s="115"/>
      <c r="AD38" s="116"/>
      <c r="AE38" s="114"/>
      <c r="AF38" s="114"/>
      <c r="AG38" s="114"/>
      <c r="AH38" s="1"/>
      <c r="AI38" s="95" t="str">
        <f aca="false">IF(INDEX($C:$C,38)&amp;INDEX($D:$D,38)="","",1)</f>
        <v/>
      </c>
      <c r="AJ38" s="95" t="str">
        <f aca="false">IF(OR(AI38="",INDEX($Z:$Z,38)="",INDEX($U:$U,38)="Declined"),"",1)</f>
        <v/>
      </c>
      <c r="AK38" s="95" t="str">
        <f aca="false">IF(AJ38="","",INDEX($Z:$Z,38)&amp;"-"&amp;COUNTIFS($Z$7:Z38,INDEX($Z:$Z,38),$AJ$7:AJ38,1))</f>
        <v/>
      </c>
      <c r="AL38" s="43" t="str">
        <f aca="false">IF(AI38="","",TRIM(INDEX($D:$D,38)&amp;" "&amp;INDEX($C:$C,38))&amp;IF(INDEX($I:$I,38)="Yes"," (child)",""))</f>
        <v/>
      </c>
      <c r="AM38" s="95" t="str">
        <f aca="false">IF(OR(AI38="",INDEX($X:$X,38)="",INDEX($U:$U,38)="Declined"),"",COUNTIFS($X$7:X38,"?*",$U$7:U38,"&lt;&gt;Declined",$AI$7:AI38,1))</f>
        <v/>
      </c>
      <c r="AN38" s="95" t="str">
        <f aca="false">IF(AI38="","",IF(INDEX($L:$L,38)="",1,IF(COUNTIF($L$7:L38,INDEX($L:$L,38))=1,1,"")))</f>
        <v/>
      </c>
      <c r="AO38" s="95" t="str">
        <f aca="false">IF(AN38&lt;&gt;1,"",IF(INDEX($L:$L,38)="",IF(INDEX($S:$S,38)="Yes",1,""),IF(COUNTIFS($L$7:$L$506,INDEX($L:$L,38),$S$7:$S$506,"Yes")&gt;0,1,"")))</f>
        <v/>
      </c>
      <c r="AP38" s="95" t="str">
        <f aca="false">IF(AN38&lt;&gt;1,"",IF(INDEX($L:$L,38)&lt;&gt;"",INDEX($L:$L,38),TRIM(INDEX($D:$D,38)&amp;" "&amp;INDEX($C:$C,38))))</f>
        <v/>
      </c>
      <c r="AQ38" s="43" t="str">
        <f aca="false">IF(OR(AI38="",INDEX($I:$I,38)="Yes"),"",1)</f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customFormat="false" ht="21.75" hidden="false" customHeight="true" outlineLevel="0" collapsed="false">
      <c r="A39" s="1"/>
      <c r="B39" s="113" t="str">
        <f aca="false">IF(AI39="","",COUNT($AI$7:AI39))</f>
        <v/>
      </c>
      <c r="C39" s="114"/>
      <c r="D39" s="114"/>
      <c r="E39" s="114"/>
      <c r="F39" s="114"/>
      <c r="G39" s="115"/>
      <c r="H39" s="115"/>
      <c r="I39" s="115"/>
      <c r="J39" s="115"/>
      <c r="K39" s="115"/>
      <c r="L39" s="114"/>
      <c r="M39" s="114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4"/>
      <c r="Y39" s="114"/>
      <c r="Z39" s="115"/>
      <c r="AA39" s="114"/>
      <c r="AB39" s="114"/>
      <c r="AC39" s="115"/>
      <c r="AD39" s="116"/>
      <c r="AE39" s="114"/>
      <c r="AF39" s="114"/>
      <c r="AG39" s="114"/>
      <c r="AH39" s="1"/>
      <c r="AI39" s="95" t="str">
        <f aca="false">IF(INDEX($C:$C,39)&amp;INDEX($D:$D,39)="","",1)</f>
        <v/>
      </c>
      <c r="AJ39" s="95" t="str">
        <f aca="false">IF(OR(AI39="",INDEX($Z:$Z,39)="",INDEX($U:$U,39)="Declined"),"",1)</f>
        <v/>
      </c>
      <c r="AK39" s="95" t="str">
        <f aca="false">IF(AJ39="","",INDEX($Z:$Z,39)&amp;"-"&amp;COUNTIFS($Z$7:Z39,INDEX($Z:$Z,39),$AJ$7:AJ39,1))</f>
        <v/>
      </c>
      <c r="AL39" s="43" t="str">
        <f aca="false">IF(AI39="","",TRIM(INDEX($D:$D,39)&amp;" "&amp;INDEX($C:$C,39))&amp;IF(INDEX($I:$I,39)="Yes"," (child)",""))</f>
        <v/>
      </c>
      <c r="AM39" s="95" t="str">
        <f aca="false">IF(OR(AI39="",INDEX($X:$X,39)="",INDEX($U:$U,39)="Declined"),"",COUNTIFS($X$7:X39,"?*",$U$7:U39,"&lt;&gt;Declined",$AI$7:AI39,1))</f>
        <v/>
      </c>
      <c r="AN39" s="95" t="str">
        <f aca="false">IF(AI39="","",IF(INDEX($L:$L,39)="",1,IF(COUNTIF($L$7:L39,INDEX($L:$L,39))=1,1,"")))</f>
        <v/>
      </c>
      <c r="AO39" s="95" t="str">
        <f aca="false">IF(AN39&lt;&gt;1,"",IF(INDEX($L:$L,39)="",IF(INDEX($S:$S,39)="Yes",1,""),IF(COUNTIFS($L$7:$L$506,INDEX($L:$L,39),$S$7:$S$506,"Yes")&gt;0,1,"")))</f>
        <v/>
      </c>
      <c r="AP39" s="95" t="str">
        <f aca="false">IF(AN39&lt;&gt;1,"",IF(INDEX($L:$L,39)&lt;&gt;"",INDEX($L:$L,39),TRIM(INDEX($D:$D,39)&amp;" "&amp;INDEX($C:$C,39))))</f>
        <v/>
      </c>
      <c r="AQ39" s="43" t="str">
        <f aca="false">IF(OR(AI39="",INDEX($I:$I,39)="Yes"),"",1)</f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customFormat="false" ht="21.75" hidden="false" customHeight="true" outlineLevel="0" collapsed="false">
      <c r="A40" s="1"/>
      <c r="B40" s="113" t="str">
        <f aca="false">IF(AI40="","",COUNT($AI$7:AI40))</f>
        <v/>
      </c>
      <c r="C40" s="114"/>
      <c r="D40" s="114"/>
      <c r="E40" s="114"/>
      <c r="F40" s="114"/>
      <c r="G40" s="115"/>
      <c r="H40" s="115"/>
      <c r="I40" s="115"/>
      <c r="J40" s="115"/>
      <c r="K40" s="115"/>
      <c r="L40" s="114"/>
      <c r="M40" s="114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4"/>
      <c r="Y40" s="114"/>
      <c r="Z40" s="115"/>
      <c r="AA40" s="114"/>
      <c r="AB40" s="114"/>
      <c r="AC40" s="115"/>
      <c r="AD40" s="116"/>
      <c r="AE40" s="114"/>
      <c r="AF40" s="114"/>
      <c r="AG40" s="114"/>
      <c r="AH40" s="1"/>
      <c r="AI40" s="95" t="str">
        <f aca="false">IF(INDEX($C:$C,40)&amp;INDEX($D:$D,40)="","",1)</f>
        <v/>
      </c>
      <c r="AJ40" s="95" t="str">
        <f aca="false">IF(OR(AI40="",INDEX($Z:$Z,40)="",INDEX($U:$U,40)="Declined"),"",1)</f>
        <v/>
      </c>
      <c r="AK40" s="95" t="str">
        <f aca="false">IF(AJ40="","",INDEX($Z:$Z,40)&amp;"-"&amp;COUNTIFS($Z$7:Z40,INDEX($Z:$Z,40),$AJ$7:AJ40,1))</f>
        <v/>
      </c>
      <c r="AL40" s="43" t="str">
        <f aca="false">IF(AI40="","",TRIM(INDEX($D:$D,40)&amp;" "&amp;INDEX($C:$C,40))&amp;IF(INDEX($I:$I,40)="Yes"," (child)",""))</f>
        <v/>
      </c>
      <c r="AM40" s="95" t="str">
        <f aca="false">IF(OR(AI40="",INDEX($X:$X,40)="",INDEX($U:$U,40)="Declined"),"",COUNTIFS($X$7:X40,"?*",$U$7:U40,"&lt;&gt;Declined",$AI$7:AI40,1))</f>
        <v/>
      </c>
      <c r="AN40" s="95" t="str">
        <f aca="false">IF(AI40="","",IF(INDEX($L:$L,40)="",1,IF(COUNTIF($L$7:L40,INDEX($L:$L,40))=1,1,"")))</f>
        <v/>
      </c>
      <c r="AO40" s="95" t="str">
        <f aca="false">IF(AN40&lt;&gt;1,"",IF(INDEX($L:$L,40)="",IF(INDEX($S:$S,40)="Yes",1,""),IF(COUNTIFS($L$7:$L$506,INDEX($L:$L,40),$S$7:$S$506,"Yes")&gt;0,1,"")))</f>
        <v/>
      </c>
      <c r="AP40" s="95" t="str">
        <f aca="false">IF(AN40&lt;&gt;1,"",IF(INDEX($L:$L,40)&lt;&gt;"",INDEX($L:$L,40),TRIM(INDEX($D:$D,40)&amp;" "&amp;INDEX($C:$C,40))))</f>
        <v/>
      </c>
      <c r="AQ40" s="43" t="str">
        <f aca="false">IF(OR(AI40="",INDEX($I:$I,40)="Yes"),"",1)</f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customFormat="false" ht="21.75" hidden="false" customHeight="true" outlineLevel="0" collapsed="false">
      <c r="A41" s="1"/>
      <c r="B41" s="113" t="str">
        <f aca="false">IF(AI41="","",COUNT($AI$7:AI41))</f>
        <v/>
      </c>
      <c r="C41" s="114"/>
      <c r="D41" s="114"/>
      <c r="E41" s="114"/>
      <c r="F41" s="114"/>
      <c r="G41" s="115"/>
      <c r="H41" s="115"/>
      <c r="I41" s="115"/>
      <c r="J41" s="115"/>
      <c r="K41" s="115"/>
      <c r="L41" s="114"/>
      <c r="M41" s="114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4"/>
      <c r="Y41" s="114"/>
      <c r="Z41" s="115"/>
      <c r="AA41" s="114"/>
      <c r="AB41" s="114"/>
      <c r="AC41" s="115"/>
      <c r="AD41" s="116"/>
      <c r="AE41" s="114"/>
      <c r="AF41" s="114"/>
      <c r="AG41" s="114"/>
      <c r="AH41" s="1"/>
      <c r="AI41" s="95" t="str">
        <f aca="false">IF(INDEX($C:$C,41)&amp;INDEX($D:$D,41)="","",1)</f>
        <v/>
      </c>
      <c r="AJ41" s="95" t="str">
        <f aca="false">IF(OR(AI41="",INDEX($Z:$Z,41)="",INDEX($U:$U,41)="Declined"),"",1)</f>
        <v/>
      </c>
      <c r="AK41" s="95" t="str">
        <f aca="false">IF(AJ41="","",INDEX($Z:$Z,41)&amp;"-"&amp;COUNTIFS($Z$7:Z41,INDEX($Z:$Z,41),$AJ$7:AJ41,1))</f>
        <v/>
      </c>
      <c r="AL41" s="43" t="str">
        <f aca="false">IF(AI41="","",TRIM(INDEX($D:$D,41)&amp;" "&amp;INDEX($C:$C,41))&amp;IF(INDEX($I:$I,41)="Yes"," (child)",""))</f>
        <v/>
      </c>
      <c r="AM41" s="95" t="str">
        <f aca="false">IF(OR(AI41="",INDEX($X:$X,41)="",INDEX($U:$U,41)="Declined"),"",COUNTIFS($X$7:X41,"?*",$U$7:U41,"&lt;&gt;Declined",$AI$7:AI41,1))</f>
        <v/>
      </c>
      <c r="AN41" s="95" t="str">
        <f aca="false">IF(AI41="","",IF(INDEX($L:$L,41)="",1,IF(COUNTIF($L$7:L41,INDEX($L:$L,41))=1,1,"")))</f>
        <v/>
      </c>
      <c r="AO41" s="95" t="str">
        <f aca="false">IF(AN41&lt;&gt;1,"",IF(INDEX($L:$L,41)="",IF(INDEX($S:$S,41)="Yes",1,""),IF(COUNTIFS($L$7:$L$506,INDEX($L:$L,41),$S$7:$S$506,"Yes")&gt;0,1,"")))</f>
        <v/>
      </c>
      <c r="AP41" s="95" t="str">
        <f aca="false">IF(AN41&lt;&gt;1,"",IF(INDEX($L:$L,41)&lt;&gt;"",INDEX($L:$L,41),TRIM(INDEX($D:$D,41)&amp;" "&amp;INDEX($C:$C,41))))</f>
        <v/>
      </c>
      <c r="AQ41" s="43" t="str">
        <f aca="false">IF(OR(AI41="",INDEX($I:$I,41)="Yes"),"",1)</f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customFormat="false" ht="21.75" hidden="false" customHeight="true" outlineLevel="0" collapsed="false">
      <c r="A42" s="1"/>
      <c r="B42" s="113" t="str">
        <f aca="false">IF(AI42="","",COUNT($AI$7:AI42))</f>
        <v/>
      </c>
      <c r="C42" s="114"/>
      <c r="D42" s="114"/>
      <c r="E42" s="114"/>
      <c r="F42" s="114"/>
      <c r="G42" s="115"/>
      <c r="H42" s="115"/>
      <c r="I42" s="115"/>
      <c r="J42" s="115"/>
      <c r="K42" s="115"/>
      <c r="L42" s="114"/>
      <c r="M42" s="114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4"/>
      <c r="Y42" s="114"/>
      <c r="Z42" s="115"/>
      <c r="AA42" s="114"/>
      <c r="AB42" s="114"/>
      <c r="AC42" s="115"/>
      <c r="AD42" s="116"/>
      <c r="AE42" s="114"/>
      <c r="AF42" s="114"/>
      <c r="AG42" s="114"/>
      <c r="AH42" s="1"/>
      <c r="AI42" s="95" t="str">
        <f aca="false">IF(INDEX($C:$C,42)&amp;INDEX($D:$D,42)="","",1)</f>
        <v/>
      </c>
      <c r="AJ42" s="95" t="str">
        <f aca="false">IF(OR(AI42="",INDEX($Z:$Z,42)="",INDEX($U:$U,42)="Declined"),"",1)</f>
        <v/>
      </c>
      <c r="AK42" s="95" t="str">
        <f aca="false">IF(AJ42="","",INDEX($Z:$Z,42)&amp;"-"&amp;COUNTIFS($Z$7:Z42,INDEX($Z:$Z,42),$AJ$7:AJ42,1))</f>
        <v/>
      </c>
      <c r="AL42" s="43" t="str">
        <f aca="false">IF(AI42="","",TRIM(INDEX($D:$D,42)&amp;" "&amp;INDEX($C:$C,42))&amp;IF(INDEX($I:$I,42)="Yes"," (child)",""))</f>
        <v/>
      </c>
      <c r="AM42" s="95" t="str">
        <f aca="false">IF(OR(AI42="",INDEX($X:$X,42)="",INDEX($U:$U,42)="Declined"),"",COUNTIFS($X$7:X42,"?*",$U$7:U42,"&lt;&gt;Declined",$AI$7:AI42,1))</f>
        <v/>
      </c>
      <c r="AN42" s="95" t="str">
        <f aca="false">IF(AI42="","",IF(INDEX($L:$L,42)="",1,IF(COUNTIF($L$7:L42,INDEX($L:$L,42))=1,1,"")))</f>
        <v/>
      </c>
      <c r="AO42" s="95" t="str">
        <f aca="false">IF(AN42&lt;&gt;1,"",IF(INDEX($L:$L,42)="",IF(INDEX($S:$S,42)="Yes",1,""),IF(COUNTIFS($L$7:$L$506,INDEX($L:$L,42),$S$7:$S$506,"Yes")&gt;0,1,"")))</f>
        <v/>
      </c>
      <c r="AP42" s="95" t="str">
        <f aca="false">IF(AN42&lt;&gt;1,"",IF(INDEX($L:$L,42)&lt;&gt;"",INDEX($L:$L,42),TRIM(INDEX($D:$D,42)&amp;" "&amp;INDEX($C:$C,42))))</f>
        <v/>
      </c>
      <c r="AQ42" s="43" t="str">
        <f aca="false">IF(OR(AI42="",INDEX($I:$I,42)="Yes"),"",1)</f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customFormat="false" ht="21.75" hidden="false" customHeight="true" outlineLevel="0" collapsed="false">
      <c r="A43" s="1"/>
      <c r="B43" s="113" t="str">
        <f aca="false">IF(AI43="","",COUNT($AI$7:AI43))</f>
        <v/>
      </c>
      <c r="C43" s="114"/>
      <c r="D43" s="114"/>
      <c r="E43" s="114"/>
      <c r="F43" s="114"/>
      <c r="G43" s="115"/>
      <c r="H43" s="115"/>
      <c r="I43" s="115"/>
      <c r="J43" s="115"/>
      <c r="K43" s="115"/>
      <c r="L43" s="114"/>
      <c r="M43" s="114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4"/>
      <c r="Y43" s="114"/>
      <c r="Z43" s="115"/>
      <c r="AA43" s="114"/>
      <c r="AB43" s="114"/>
      <c r="AC43" s="115"/>
      <c r="AD43" s="116"/>
      <c r="AE43" s="114"/>
      <c r="AF43" s="114"/>
      <c r="AG43" s="114"/>
      <c r="AH43" s="1"/>
      <c r="AI43" s="95" t="str">
        <f aca="false">IF(INDEX($C:$C,43)&amp;INDEX($D:$D,43)="","",1)</f>
        <v/>
      </c>
      <c r="AJ43" s="95" t="str">
        <f aca="false">IF(OR(AI43="",INDEX($Z:$Z,43)="",INDEX($U:$U,43)="Declined"),"",1)</f>
        <v/>
      </c>
      <c r="AK43" s="95" t="str">
        <f aca="false">IF(AJ43="","",INDEX($Z:$Z,43)&amp;"-"&amp;COUNTIFS($Z$7:Z43,INDEX($Z:$Z,43),$AJ$7:AJ43,1))</f>
        <v/>
      </c>
      <c r="AL43" s="43" t="str">
        <f aca="false">IF(AI43="","",TRIM(INDEX($D:$D,43)&amp;" "&amp;INDEX($C:$C,43))&amp;IF(INDEX($I:$I,43)="Yes"," (child)",""))</f>
        <v/>
      </c>
      <c r="AM43" s="95" t="str">
        <f aca="false">IF(OR(AI43="",INDEX($X:$X,43)="",INDEX($U:$U,43)="Declined"),"",COUNTIFS($X$7:X43,"?*",$U$7:U43,"&lt;&gt;Declined",$AI$7:AI43,1))</f>
        <v/>
      </c>
      <c r="AN43" s="95" t="str">
        <f aca="false">IF(AI43="","",IF(INDEX($L:$L,43)="",1,IF(COUNTIF($L$7:L43,INDEX($L:$L,43))=1,1,"")))</f>
        <v/>
      </c>
      <c r="AO43" s="95" t="str">
        <f aca="false">IF(AN43&lt;&gt;1,"",IF(INDEX($L:$L,43)="",IF(INDEX($S:$S,43)="Yes",1,""),IF(COUNTIFS($L$7:$L$506,INDEX($L:$L,43),$S$7:$S$506,"Yes")&gt;0,1,"")))</f>
        <v/>
      </c>
      <c r="AP43" s="95" t="str">
        <f aca="false">IF(AN43&lt;&gt;1,"",IF(INDEX($L:$L,43)&lt;&gt;"",INDEX($L:$L,43),TRIM(INDEX($D:$D,43)&amp;" "&amp;INDEX($C:$C,43))))</f>
        <v/>
      </c>
      <c r="AQ43" s="43" t="str">
        <f aca="false">IF(OR(AI43="",INDEX($I:$I,43)="Yes"),"",1)</f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customFormat="false" ht="21.75" hidden="false" customHeight="true" outlineLevel="0" collapsed="false">
      <c r="A44" s="1"/>
      <c r="B44" s="113" t="str">
        <f aca="false">IF(AI44="","",COUNT($AI$7:AI44))</f>
        <v/>
      </c>
      <c r="C44" s="114"/>
      <c r="D44" s="114"/>
      <c r="E44" s="114"/>
      <c r="F44" s="114"/>
      <c r="G44" s="115"/>
      <c r="H44" s="115"/>
      <c r="I44" s="115"/>
      <c r="J44" s="115"/>
      <c r="K44" s="115"/>
      <c r="L44" s="114"/>
      <c r="M44" s="114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4"/>
      <c r="Y44" s="114"/>
      <c r="Z44" s="115"/>
      <c r="AA44" s="114"/>
      <c r="AB44" s="114"/>
      <c r="AC44" s="115"/>
      <c r="AD44" s="116"/>
      <c r="AE44" s="114"/>
      <c r="AF44" s="114"/>
      <c r="AG44" s="114"/>
      <c r="AH44" s="1"/>
      <c r="AI44" s="95" t="str">
        <f aca="false">IF(INDEX($C:$C,44)&amp;INDEX($D:$D,44)="","",1)</f>
        <v/>
      </c>
      <c r="AJ44" s="95" t="str">
        <f aca="false">IF(OR(AI44="",INDEX($Z:$Z,44)="",INDEX($U:$U,44)="Declined"),"",1)</f>
        <v/>
      </c>
      <c r="AK44" s="95" t="str">
        <f aca="false">IF(AJ44="","",INDEX($Z:$Z,44)&amp;"-"&amp;COUNTIFS($Z$7:Z44,INDEX($Z:$Z,44),$AJ$7:AJ44,1))</f>
        <v/>
      </c>
      <c r="AL44" s="43" t="str">
        <f aca="false">IF(AI44="","",TRIM(INDEX($D:$D,44)&amp;" "&amp;INDEX($C:$C,44))&amp;IF(INDEX($I:$I,44)="Yes"," (child)",""))</f>
        <v/>
      </c>
      <c r="AM44" s="95" t="str">
        <f aca="false">IF(OR(AI44="",INDEX($X:$X,44)="",INDEX($U:$U,44)="Declined"),"",COUNTIFS($X$7:X44,"?*",$U$7:U44,"&lt;&gt;Declined",$AI$7:AI44,1))</f>
        <v/>
      </c>
      <c r="AN44" s="95" t="str">
        <f aca="false">IF(AI44="","",IF(INDEX($L:$L,44)="",1,IF(COUNTIF($L$7:L44,INDEX($L:$L,44))=1,1,"")))</f>
        <v/>
      </c>
      <c r="AO44" s="95" t="str">
        <f aca="false">IF(AN44&lt;&gt;1,"",IF(INDEX($L:$L,44)="",IF(INDEX($S:$S,44)="Yes",1,""),IF(COUNTIFS($L$7:$L$506,INDEX($L:$L,44),$S$7:$S$506,"Yes")&gt;0,1,"")))</f>
        <v/>
      </c>
      <c r="AP44" s="95" t="str">
        <f aca="false">IF(AN44&lt;&gt;1,"",IF(INDEX($L:$L,44)&lt;&gt;"",INDEX($L:$L,44),TRIM(INDEX($D:$D,44)&amp;" "&amp;INDEX($C:$C,44))))</f>
        <v/>
      </c>
      <c r="AQ44" s="43" t="str">
        <f aca="false">IF(OR(AI44="",INDEX($I:$I,44)="Yes"),"",1)</f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customFormat="false" ht="21.75" hidden="false" customHeight="true" outlineLevel="0" collapsed="false">
      <c r="A45" s="1"/>
      <c r="B45" s="113" t="str">
        <f aca="false">IF(AI45="","",COUNT($AI$7:AI45))</f>
        <v/>
      </c>
      <c r="C45" s="114"/>
      <c r="D45" s="114"/>
      <c r="E45" s="114"/>
      <c r="F45" s="114"/>
      <c r="G45" s="115"/>
      <c r="H45" s="115"/>
      <c r="I45" s="115"/>
      <c r="J45" s="115"/>
      <c r="K45" s="115"/>
      <c r="L45" s="114"/>
      <c r="M45" s="114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4"/>
      <c r="Y45" s="114"/>
      <c r="Z45" s="115"/>
      <c r="AA45" s="114"/>
      <c r="AB45" s="114"/>
      <c r="AC45" s="115"/>
      <c r="AD45" s="116"/>
      <c r="AE45" s="114"/>
      <c r="AF45" s="114"/>
      <c r="AG45" s="114"/>
      <c r="AH45" s="1"/>
      <c r="AI45" s="95" t="str">
        <f aca="false">IF(INDEX($C:$C,45)&amp;INDEX($D:$D,45)="","",1)</f>
        <v/>
      </c>
      <c r="AJ45" s="95" t="str">
        <f aca="false">IF(OR(AI45="",INDEX($Z:$Z,45)="",INDEX($U:$U,45)="Declined"),"",1)</f>
        <v/>
      </c>
      <c r="AK45" s="95" t="str">
        <f aca="false">IF(AJ45="","",INDEX($Z:$Z,45)&amp;"-"&amp;COUNTIFS($Z$7:Z45,INDEX($Z:$Z,45),$AJ$7:AJ45,1))</f>
        <v/>
      </c>
      <c r="AL45" s="43" t="str">
        <f aca="false">IF(AI45="","",TRIM(INDEX($D:$D,45)&amp;" "&amp;INDEX($C:$C,45))&amp;IF(INDEX($I:$I,45)="Yes"," (child)",""))</f>
        <v/>
      </c>
      <c r="AM45" s="95" t="str">
        <f aca="false">IF(OR(AI45="",INDEX($X:$X,45)="",INDEX($U:$U,45)="Declined"),"",COUNTIFS($X$7:X45,"?*",$U$7:U45,"&lt;&gt;Declined",$AI$7:AI45,1))</f>
        <v/>
      </c>
      <c r="AN45" s="95" t="str">
        <f aca="false">IF(AI45="","",IF(INDEX($L:$L,45)="",1,IF(COUNTIF($L$7:L45,INDEX($L:$L,45))=1,1,"")))</f>
        <v/>
      </c>
      <c r="AO45" s="95" t="str">
        <f aca="false">IF(AN45&lt;&gt;1,"",IF(INDEX($L:$L,45)="",IF(INDEX($S:$S,45)="Yes",1,""),IF(COUNTIFS($L$7:$L$506,INDEX($L:$L,45),$S$7:$S$506,"Yes")&gt;0,1,"")))</f>
        <v/>
      </c>
      <c r="AP45" s="95" t="str">
        <f aca="false">IF(AN45&lt;&gt;1,"",IF(INDEX($L:$L,45)&lt;&gt;"",INDEX($L:$L,45),TRIM(INDEX($D:$D,45)&amp;" "&amp;INDEX($C:$C,45))))</f>
        <v/>
      </c>
      <c r="AQ45" s="43" t="str">
        <f aca="false">IF(OR(AI45="",INDEX($I:$I,45)="Yes"),"",1)</f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customFormat="false" ht="21.75" hidden="false" customHeight="true" outlineLevel="0" collapsed="false">
      <c r="A46" s="1"/>
      <c r="B46" s="113" t="str">
        <f aca="false">IF(AI46="","",COUNT($AI$7:AI46))</f>
        <v/>
      </c>
      <c r="C46" s="114"/>
      <c r="D46" s="114"/>
      <c r="E46" s="114"/>
      <c r="F46" s="114"/>
      <c r="G46" s="115"/>
      <c r="H46" s="115"/>
      <c r="I46" s="115"/>
      <c r="J46" s="115"/>
      <c r="K46" s="115"/>
      <c r="L46" s="114"/>
      <c r="M46" s="114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4"/>
      <c r="Y46" s="114"/>
      <c r="Z46" s="115"/>
      <c r="AA46" s="114"/>
      <c r="AB46" s="114"/>
      <c r="AC46" s="115"/>
      <c r="AD46" s="116"/>
      <c r="AE46" s="114"/>
      <c r="AF46" s="114"/>
      <c r="AG46" s="114"/>
      <c r="AH46" s="1"/>
      <c r="AI46" s="95" t="str">
        <f aca="false">IF(INDEX($C:$C,46)&amp;INDEX($D:$D,46)="","",1)</f>
        <v/>
      </c>
      <c r="AJ46" s="95" t="str">
        <f aca="false">IF(OR(AI46="",INDEX($Z:$Z,46)="",INDEX($U:$U,46)="Declined"),"",1)</f>
        <v/>
      </c>
      <c r="AK46" s="95" t="str">
        <f aca="false">IF(AJ46="","",INDEX($Z:$Z,46)&amp;"-"&amp;COUNTIFS($Z$7:Z46,INDEX($Z:$Z,46),$AJ$7:AJ46,1))</f>
        <v/>
      </c>
      <c r="AL46" s="43" t="str">
        <f aca="false">IF(AI46="","",TRIM(INDEX($D:$D,46)&amp;" "&amp;INDEX($C:$C,46))&amp;IF(INDEX($I:$I,46)="Yes"," (child)",""))</f>
        <v/>
      </c>
      <c r="AM46" s="95" t="str">
        <f aca="false">IF(OR(AI46="",INDEX($X:$X,46)="",INDEX($U:$U,46)="Declined"),"",COUNTIFS($X$7:X46,"?*",$U$7:U46,"&lt;&gt;Declined",$AI$7:AI46,1))</f>
        <v/>
      </c>
      <c r="AN46" s="95" t="str">
        <f aca="false">IF(AI46="","",IF(INDEX($L:$L,46)="",1,IF(COUNTIF($L$7:L46,INDEX($L:$L,46))=1,1,"")))</f>
        <v/>
      </c>
      <c r="AO46" s="95" t="str">
        <f aca="false">IF(AN46&lt;&gt;1,"",IF(INDEX($L:$L,46)="",IF(INDEX($S:$S,46)="Yes",1,""),IF(COUNTIFS($L$7:$L$506,INDEX($L:$L,46),$S$7:$S$506,"Yes")&gt;0,1,"")))</f>
        <v/>
      </c>
      <c r="AP46" s="95" t="str">
        <f aca="false">IF(AN46&lt;&gt;1,"",IF(INDEX($L:$L,46)&lt;&gt;"",INDEX($L:$L,46),TRIM(INDEX($D:$D,46)&amp;" "&amp;INDEX($C:$C,46))))</f>
        <v/>
      </c>
      <c r="AQ46" s="43" t="str">
        <f aca="false">IF(OR(AI46="",INDEX($I:$I,46)="Yes"),"",1)</f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customFormat="false" ht="21.75" hidden="false" customHeight="true" outlineLevel="0" collapsed="false">
      <c r="A47" s="1"/>
      <c r="B47" s="113" t="str">
        <f aca="false">IF(AI47="","",COUNT($AI$7:AI47))</f>
        <v/>
      </c>
      <c r="C47" s="114"/>
      <c r="D47" s="114"/>
      <c r="E47" s="114"/>
      <c r="F47" s="114"/>
      <c r="G47" s="115"/>
      <c r="H47" s="115"/>
      <c r="I47" s="115"/>
      <c r="J47" s="115"/>
      <c r="K47" s="115"/>
      <c r="L47" s="114"/>
      <c r="M47" s="114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4"/>
      <c r="Y47" s="114"/>
      <c r="Z47" s="115"/>
      <c r="AA47" s="114"/>
      <c r="AB47" s="114"/>
      <c r="AC47" s="115"/>
      <c r="AD47" s="116"/>
      <c r="AE47" s="114"/>
      <c r="AF47" s="114"/>
      <c r="AG47" s="114"/>
      <c r="AH47" s="1"/>
      <c r="AI47" s="95" t="str">
        <f aca="false">IF(INDEX($C:$C,47)&amp;INDEX($D:$D,47)="","",1)</f>
        <v/>
      </c>
      <c r="AJ47" s="95" t="str">
        <f aca="false">IF(OR(AI47="",INDEX($Z:$Z,47)="",INDEX($U:$U,47)="Declined"),"",1)</f>
        <v/>
      </c>
      <c r="AK47" s="95" t="str">
        <f aca="false">IF(AJ47="","",INDEX($Z:$Z,47)&amp;"-"&amp;COUNTIFS($Z$7:Z47,INDEX($Z:$Z,47),$AJ$7:AJ47,1))</f>
        <v/>
      </c>
      <c r="AL47" s="43" t="str">
        <f aca="false">IF(AI47="","",TRIM(INDEX($D:$D,47)&amp;" "&amp;INDEX($C:$C,47))&amp;IF(INDEX($I:$I,47)="Yes"," (child)",""))</f>
        <v/>
      </c>
      <c r="AM47" s="95" t="str">
        <f aca="false">IF(OR(AI47="",INDEX($X:$X,47)="",INDEX($U:$U,47)="Declined"),"",COUNTIFS($X$7:X47,"?*",$U$7:U47,"&lt;&gt;Declined",$AI$7:AI47,1))</f>
        <v/>
      </c>
      <c r="AN47" s="95" t="str">
        <f aca="false">IF(AI47="","",IF(INDEX($L:$L,47)="",1,IF(COUNTIF($L$7:L47,INDEX($L:$L,47))=1,1,"")))</f>
        <v/>
      </c>
      <c r="AO47" s="95" t="str">
        <f aca="false">IF(AN47&lt;&gt;1,"",IF(INDEX($L:$L,47)="",IF(INDEX($S:$S,47)="Yes",1,""),IF(COUNTIFS($L$7:$L$506,INDEX($L:$L,47),$S$7:$S$506,"Yes")&gt;0,1,"")))</f>
        <v/>
      </c>
      <c r="AP47" s="95" t="str">
        <f aca="false">IF(AN47&lt;&gt;1,"",IF(INDEX($L:$L,47)&lt;&gt;"",INDEX($L:$L,47),TRIM(INDEX($D:$D,47)&amp;" "&amp;INDEX($C:$C,47))))</f>
        <v/>
      </c>
      <c r="AQ47" s="43" t="str">
        <f aca="false">IF(OR(AI47="",INDEX($I:$I,47)="Yes"),"",1)</f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customFormat="false" ht="21.75" hidden="false" customHeight="true" outlineLevel="0" collapsed="false">
      <c r="A48" s="1"/>
      <c r="B48" s="113" t="str">
        <f aca="false">IF(AI48="","",COUNT($AI$7:AI48))</f>
        <v/>
      </c>
      <c r="C48" s="114"/>
      <c r="D48" s="114"/>
      <c r="E48" s="114"/>
      <c r="F48" s="114"/>
      <c r="G48" s="115"/>
      <c r="H48" s="115"/>
      <c r="I48" s="115"/>
      <c r="J48" s="115"/>
      <c r="K48" s="115"/>
      <c r="L48" s="114"/>
      <c r="M48" s="114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4"/>
      <c r="Y48" s="114"/>
      <c r="Z48" s="115"/>
      <c r="AA48" s="114"/>
      <c r="AB48" s="114"/>
      <c r="AC48" s="115"/>
      <c r="AD48" s="116"/>
      <c r="AE48" s="114"/>
      <c r="AF48" s="114"/>
      <c r="AG48" s="114"/>
      <c r="AH48" s="1"/>
      <c r="AI48" s="95" t="str">
        <f aca="false">IF(INDEX($C:$C,48)&amp;INDEX($D:$D,48)="","",1)</f>
        <v/>
      </c>
      <c r="AJ48" s="95" t="str">
        <f aca="false">IF(OR(AI48="",INDEX($Z:$Z,48)="",INDEX($U:$U,48)="Declined"),"",1)</f>
        <v/>
      </c>
      <c r="AK48" s="95" t="str">
        <f aca="false">IF(AJ48="","",INDEX($Z:$Z,48)&amp;"-"&amp;COUNTIFS($Z$7:Z48,INDEX($Z:$Z,48),$AJ$7:AJ48,1))</f>
        <v/>
      </c>
      <c r="AL48" s="43" t="str">
        <f aca="false">IF(AI48="","",TRIM(INDEX($D:$D,48)&amp;" "&amp;INDEX($C:$C,48))&amp;IF(INDEX($I:$I,48)="Yes"," (child)",""))</f>
        <v/>
      </c>
      <c r="AM48" s="95" t="str">
        <f aca="false">IF(OR(AI48="",INDEX($X:$X,48)="",INDEX($U:$U,48)="Declined"),"",COUNTIFS($X$7:X48,"?*",$U$7:U48,"&lt;&gt;Declined",$AI$7:AI48,1))</f>
        <v/>
      </c>
      <c r="AN48" s="95" t="str">
        <f aca="false">IF(AI48="","",IF(INDEX($L:$L,48)="",1,IF(COUNTIF($L$7:L48,INDEX($L:$L,48))=1,1,"")))</f>
        <v/>
      </c>
      <c r="AO48" s="95" t="str">
        <f aca="false">IF(AN48&lt;&gt;1,"",IF(INDEX($L:$L,48)="",IF(INDEX($S:$S,48)="Yes",1,""),IF(COUNTIFS($L$7:$L$506,INDEX($L:$L,48),$S$7:$S$506,"Yes")&gt;0,1,"")))</f>
        <v/>
      </c>
      <c r="AP48" s="95" t="str">
        <f aca="false">IF(AN48&lt;&gt;1,"",IF(INDEX($L:$L,48)&lt;&gt;"",INDEX($L:$L,48),TRIM(INDEX($D:$D,48)&amp;" "&amp;INDEX($C:$C,48))))</f>
        <v/>
      </c>
      <c r="AQ48" s="43" t="str">
        <f aca="false">IF(OR(AI48="",INDEX($I:$I,48)="Yes"),"",1)</f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customFormat="false" ht="21.75" hidden="false" customHeight="true" outlineLevel="0" collapsed="false">
      <c r="A49" s="1"/>
      <c r="B49" s="113" t="str">
        <f aca="false">IF(AI49="","",COUNT($AI$7:AI49))</f>
        <v/>
      </c>
      <c r="C49" s="114"/>
      <c r="D49" s="114"/>
      <c r="E49" s="114"/>
      <c r="F49" s="114"/>
      <c r="G49" s="115"/>
      <c r="H49" s="115"/>
      <c r="I49" s="115"/>
      <c r="J49" s="115"/>
      <c r="K49" s="115"/>
      <c r="L49" s="114"/>
      <c r="M49" s="114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4"/>
      <c r="Y49" s="114"/>
      <c r="Z49" s="115"/>
      <c r="AA49" s="114"/>
      <c r="AB49" s="114"/>
      <c r="AC49" s="115"/>
      <c r="AD49" s="116"/>
      <c r="AE49" s="114"/>
      <c r="AF49" s="114"/>
      <c r="AG49" s="114"/>
      <c r="AH49" s="1"/>
      <c r="AI49" s="95" t="str">
        <f aca="false">IF(INDEX($C:$C,49)&amp;INDEX($D:$D,49)="","",1)</f>
        <v/>
      </c>
      <c r="AJ49" s="95" t="str">
        <f aca="false">IF(OR(AI49="",INDEX($Z:$Z,49)="",INDEX($U:$U,49)="Declined"),"",1)</f>
        <v/>
      </c>
      <c r="AK49" s="95" t="str">
        <f aca="false">IF(AJ49="","",INDEX($Z:$Z,49)&amp;"-"&amp;COUNTIFS($Z$7:Z49,INDEX($Z:$Z,49),$AJ$7:AJ49,1))</f>
        <v/>
      </c>
      <c r="AL49" s="43" t="str">
        <f aca="false">IF(AI49="","",TRIM(INDEX($D:$D,49)&amp;" "&amp;INDEX($C:$C,49))&amp;IF(INDEX($I:$I,49)="Yes"," (child)",""))</f>
        <v/>
      </c>
      <c r="AM49" s="95" t="str">
        <f aca="false">IF(OR(AI49="",INDEX($X:$X,49)="",INDEX($U:$U,49)="Declined"),"",COUNTIFS($X$7:X49,"?*",$U$7:U49,"&lt;&gt;Declined",$AI$7:AI49,1))</f>
        <v/>
      </c>
      <c r="AN49" s="95" t="str">
        <f aca="false">IF(AI49="","",IF(INDEX($L:$L,49)="",1,IF(COUNTIF($L$7:L49,INDEX($L:$L,49))=1,1,"")))</f>
        <v/>
      </c>
      <c r="AO49" s="95" t="str">
        <f aca="false">IF(AN49&lt;&gt;1,"",IF(INDEX($L:$L,49)="",IF(INDEX($S:$S,49)="Yes",1,""),IF(COUNTIFS($L$7:$L$506,INDEX($L:$L,49),$S$7:$S$506,"Yes")&gt;0,1,"")))</f>
        <v/>
      </c>
      <c r="AP49" s="95" t="str">
        <f aca="false">IF(AN49&lt;&gt;1,"",IF(INDEX($L:$L,49)&lt;&gt;"",INDEX($L:$L,49),TRIM(INDEX($D:$D,49)&amp;" "&amp;INDEX($C:$C,49))))</f>
        <v/>
      </c>
      <c r="AQ49" s="43" t="str">
        <f aca="false">IF(OR(AI49="",INDEX($I:$I,49)="Yes"),"",1)</f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customFormat="false" ht="21.75" hidden="false" customHeight="true" outlineLevel="0" collapsed="false">
      <c r="A50" s="1"/>
      <c r="B50" s="113" t="str">
        <f aca="false">IF(AI50="","",COUNT($AI$7:AI50))</f>
        <v/>
      </c>
      <c r="C50" s="114"/>
      <c r="D50" s="114"/>
      <c r="E50" s="114"/>
      <c r="F50" s="114"/>
      <c r="G50" s="115"/>
      <c r="H50" s="115"/>
      <c r="I50" s="115"/>
      <c r="J50" s="115"/>
      <c r="K50" s="115"/>
      <c r="L50" s="114"/>
      <c r="M50" s="114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4"/>
      <c r="Y50" s="114"/>
      <c r="Z50" s="115"/>
      <c r="AA50" s="114"/>
      <c r="AB50" s="114"/>
      <c r="AC50" s="115"/>
      <c r="AD50" s="116"/>
      <c r="AE50" s="114"/>
      <c r="AF50" s="114"/>
      <c r="AG50" s="114"/>
      <c r="AH50" s="1"/>
      <c r="AI50" s="95" t="str">
        <f aca="false">IF(INDEX($C:$C,50)&amp;INDEX($D:$D,50)="","",1)</f>
        <v/>
      </c>
      <c r="AJ50" s="95" t="str">
        <f aca="false">IF(OR(AI50="",INDEX($Z:$Z,50)="",INDEX($U:$U,50)="Declined"),"",1)</f>
        <v/>
      </c>
      <c r="AK50" s="95" t="str">
        <f aca="false">IF(AJ50="","",INDEX($Z:$Z,50)&amp;"-"&amp;COUNTIFS($Z$7:Z50,INDEX($Z:$Z,50),$AJ$7:AJ50,1))</f>
        <v/>
      </c>
      <c r="AL50" s="43" t="str">
        <f aca="false">IF(AI50="","",TRIM(INDEX($D:$D,50)&amp;" "&amp;INDEX($C:$C,50))&amp;IF(INDEX($I:$I,50)="Yes"," (child)",""))</f>
        <v/>
      </c>
      <c r="AM50" s="95" t="str">
        <f aca="false">IF(OR(AI50="",INDEX($X:$X,50)="",INDEX($U:$U,50)="Declined"),"",COUNTIFS($X$7:X50,"?*",$U$7:U50,"&lt;&gt;Declined",$AI$7:AI50,1))</f>
        <v/>
      </c>
      <c r="AN50" s="95" t="str">
        <f aca="false">IF(AI50="","",IF(INDEX($L:$L,50)="",1,IF(COUNTIF($L$7:L50,INDEX($L:$L,50))=1,1,"")))</f>
        <v/>
      </c>
      <c r="AO50" s="95" t="str">
        <f aca="false">IF(AN50&lt;&gt;1,"",IF(INDEX($L:$L,50)="",IF(INDEX($S:$S,50)="Yes",1,""),IF(COUNTIFS($L$7:$L$506,INDEX($L:$L,50),$S$7:$S$506,"Yes")&gt;0,1,"")))</f>
        <v/>
      </c>
      <c r="AP50" s="95" t="str">
        <f aca="false">IF(AN50&lt;&gt;1,"",IF(INDEX($L:$L,50)&lt;&gt;"",INDEX($L:$L,50),TRIM(INDEX($D:$D,50)&amp;" "&amp;INDEX($C:$C,50))))</f>
        <v/>
      </c>
      <c r="AQ50" s="43" t="str">
        <f aca="false">IF(OR(AI50="",INDEX($I:$I,50)="Yes"),"",1)</f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customFormat="false" ht="21.75" hidden="false" customHeight="true" outlineLevel="0" collapsed="false">
      <c r="A51" s="1"/>
      <c r="B51" s="113" t="str">
        <f aca="false">IF(AI51="","",COUNT($AI$7:AI51))</f>
        <v/>
      </c>
      <c r="C51" s="114"/>
      <c r="D51" s="114"/>
      <c r="E51" s="114"/>
      <c r="F51" s="114"/>
      <c r="G51" s="115"/>
      <c r="H51" s="115"/>
      <c r="I51" s="115"/>
      <c r="J51" s="115"/>
      <c r="K51" s="115"/>
      <c r="L51" s="114"/>
      <c r="M51" s="114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4"/>
      <c r="Y51" s="114"/>
      <c r="Z51" s="115"/>
      <c r="AA51" s="114"/>
      <c r="AB51" s="114"/>
      <c r="AC51" s="115"/>
      <c r="AD51" s="116"/>
      <c r="AE51" s="114"/>
      <c r="AF51" s="114"/>
      <c r="AG51" s="114"/>
      <c r="AH51" s="1"/>
      <c r="AI51" s="95" t="str">
        <f aca="false">IF(INDEX($C:$C,51)&amp;INDEX($D:$D,51)="","",1)</f>
        <v/>
      </c>
      <c r="AJ51" s="95" t="str">
        <f aca="false">IF(OR(AI51="",INDEX($Z:$Z,51)="",INDEX($U:$U,51)="Declined"),"",1)</f>
        <v/>
      </c>
      <c r="AK51" s="95" t="str">
        <f aca="false">IF(AJ51="","",INDEX($Z:$Z,51)&amp;"-"&amp;COUNTIFS($Z$7:Z51,INDEX($Z:$Z,51),$AJ$7:AJ51,1))</f>
        <v/>
      </c>
      <c r="AL51" s="43" t="str">
        <f aca="false">IF(AI51="","",TRIM(INDEX($D:$D,51)&amp;" "&amp;INDEX($C:$C,51))&amp;IF(INDEX($I:$I,51)="Yes"," (child)",""))</f>
        <v/>
      </c>
      <c r="AM51" s="95" t="str">
        <f aca="false">IF(OR(AI51="",INDEX($X:$X,51)="",INDEX($U:$U,51)="Declined"),"",COUNTIFS($X$7:X51,"?*",$U$7:U51,"&lt;&gt;Declined",$AI$7:AI51,1))</f>
        <v/>
      </c>
      <c r="AN51" s="95" t="str">
        <f aca="false">IF(AI51="","",IF(INDEX($L:$L,51)="",1,IF(COUNTIF($L$7:L51,INDEX($L:$L,51))=1,1,"")))</f>
        <v/>
      </c>
      <c r="AO51" s="95" t="str">
        <f aca="false">IF(AN51&lt;&gt;1,"",IF(INDEX($L:$L,51)="",IF(INDEX($S:$S,51)="Yes",1,""),IF(COUNTIFS($L$7:$L$506,INDEX($L:$L,51),$S$7:$S$506,"Yes")&gt;0,1,"")))</f>
        <v/>
      </c>
      <c r="AP51" s="95" t="str">
        <f aca="false">IF(AN51&lt;&gt;1,"",IF(INDEX($L:$L,51)&lt;&gt;"",INDEX($L:$L,51),TRIM(INDEX($D:$D,51)&amp;" "&amp;INDEX($C:$C,51))))</f>
        <v/>
      </c>
      <c r="AQ51" s="43" t="str">
        <f aca="false">IF(OR(AI51="",INDEX($I:$I,51)="Yes"),"",1)</f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customFormat="false" ht="21.75" hidden="false" customHeight="true" outlineLevel="0" collapsed="false">
      <c r="A52" s="1"/>
      <c r="B52" s="113" t="str">
        <f aca="false">IF(AI52="","",COUNT($AI$7:AI52))</f>
        <v/>
      </c>
      <c r="C52" s="114"/>
      <c r="D52" s="114"/>
      <c r="E52" s="114"/>
      <c r="F52" s="114"/>
      <c r="G52" s="115"/>
      <c r="H52" s="115"/>
      <c r="I52" s="115"/>
      <c r="J52" s="115"/>
      <c r="K52" s="115"/>
      <c r="L52" s="114"/>
      <c r="M52" s="114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4"/>
      <c r="Y52" s="114"/>
      <c r="Z52" s="115"/>
      <c r="AA52" s="114"/>
      <c r="AB52" s="114"/>
      <c r="AC52" s="115"/>
      <c r="AD52" s="116"/>
      <c r="AE52" s="114"/>
      <c r="AF52" s="114"/>
      <c r="AG52" s="114"/>
      <c r="AH52" s="1"/>
      <c r="AI52" s="95" t="str">
        <f aca="false">IF(INDEX($C:$C,52)&amp;INDEX($D:$D,52)="","",1)</f>
        <v/>
      </c>
      <c r="AJ52" s="95" t="str">
        <f aca="false">IF(OR(AI52="",INDEX($Z:$Z,52)="",INDEX($U:$U,52)="Declined"),"",1)</f>
        <v/>
      </c>
      <c r="AK52" s="95" t="str">
        <f aca="false">IF(AJ52="","",INDEX($Z:$Z,52)&amp;"-"&amp;COUNTIFS($Z$7:Z52,INDEX($Z:$Z,52),$AJ$7:AJ52,1))</f>
        <v/>
      </c>
      <c r="AL52" s="43" t="str">
        <f aca="false">IF(AI52="","",TRIM(INDEX($D:$D,52)&amp;" "&amp;INDEX($C:$C,52))&amp;IF(INDEX($I:$I,52)="Yes"," (child)",""))</f>
        <v/>
      </c>
      <c r="AM52" s="95" t="str">
        <f aca="false">IF(OR(AI52="",INDEX($X:$X,52)="",INDEX($U:$U,52)="Declined"),"",COUNTIFS($X$7:X52,"?*",$U$7:U52,"&lt;&gt;Declined",$AI$7:AI52,1))</f>
        <v/>
      </c>
      <c r="AN52" s="95" t="str">
        <f aca="false">IF(AI52="","",IF(INDEX($L:$L,52)="",1,IF(COUNTIF($L$7:L52,INDEX($L:$L,52))=1,1,"")))</f>
        <v/>
      </c>
      <c r="AO52" s="95" t="str">
        <f aca="false">IF(AN52&lt;&gt;1,"",IF(INDEX($L:$L,52)="",IF(INDEX($S:$S,52)="Yes",1,""),IF(COUNTIFS($L$7:$L$506,INDEX($L:$L,52),$S$7:$S$506,"Yes")&gt;0,1,"")))</f>
        <v/>
      </c>
      <c r="AP52" s="95" t="str">
        <f aca="false">IF(AN52&lt;&gt;1,"",IF(INDEX($L:$L,52)&lt;&gt;"",INDEX($L:$L,52),TRIM(INDEX($D:$D,52)&amp;" "&amp;INDEX($C:$C,52))))</f>
        <v/>
      </c>
      <c r="AQ52" s="43" t="str">
        <f aca="false">IF(OR(AI52="",INDEX($I:$I,52)="Yes"),"",1)</f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customFormat="false" ht="21.75" hidden="false" customHeight="true" outlineLevel="0" collapsed="false">
      <c r="A53" s="1"/>
      <c r="B53" s="113" t="str">
        <f aca="false">IF(AI53="","",COUNT($AI$7:AI53))</f>
        <v/>
      </c>
      <c r="C53" s="114"/>
      <c r="D53" s="114"/>
      <c r="E53" s="114"/>
      <c r="F53" s="114"/>
      <c r="G53" s="115"/>
      <c r="H53" s="115"/>
      <c r="I53" s="115"/>
      <c r="J53" s="115"/>
      <c r="K53" s="115"/>
      <c r="L53" s="114"/>
      <c r="M53" s="114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4"/>
      <c r="Y53" s="114"/>
      <c r="Z53" s="115"/>
      <c r="AA53" s="114"/>
      <c r="AB53" s="114"/>
      <c r="AC53" s="115"/>
      <c r="AD53" s="116"/>
      <c r="AE53" s="114"/>
      <c r="AF53" s="114"/>
      <c r="AG53" s="114"/>
      <c r="AH53" s="1"/>
      <c r="AI53" s="95" t="str">
        <f aca="false">IF(INDEX($C:$C,53)&amp;INDEX($D:$D,53)="","",1)</f>
        <v/>
      </c>
      <c r="AJ53" s="95" t="str">
        <f aca="false">IF(OR(AI53="",INDEX($Z:$Z,53)="",INDEX($U:$U,53)="Declined"),"",1)</f>
        <v/>
      </c>
      <c r="AK53" s="95" t="str">
        <f aca="false">IF(AJ53="","",INDEX($Z:$Z,53)&amp;"-"&amp;COUNTIFS($Z$7:Z53,INDEX($Z:$Z,53),$AJ$7:AJ53,1))</f>
        <v/>
      </c>
      <c r="AL53" s="43" t="str">
        <f aca="false">IF(AI53="","",TRIM(INDEX($D:$D,53)&amp;" "&amp;INDEX($C:$C,53))&amp;IF(INDEX($I:$I,53)="Yes"," (child)",""))</f>
        <v/>
      </c>
      <c r="AM53" s="95" t="str">
        <f aca="false">IF(OR(AI53="",INDEX($X:$X,53)="",INDEX($U:$U,53)="Declined"),"",COUNTIFS($X$7:X53,"?*",$U$7:U53,"&lt;&gt;Declined",$AI$7:AI53,1))</f>
        <v/>
      </c>
      <c r="AN53" s="95" t="str">
        <f aca="false">IF(AI53="","",IF(INDEX($L:$L,53)="",1,IF(COUNTIF($L$7:L53,INDEX($L:$L,53))=1,1,"")))</f>
        <v/>
      </c>
      <c r="AO53" s="95" t="str">
        <f aca="false">IF(AN53&lt;&gt;1,"",IF(INDEX($L:$L,53)="",IF(INDEX($S:$S,53)="Yes",1,""),IF(COUNTIFS($L$7:$L$506,INDEX($L:$L,53),$S$7:$S$506,"Yes")&gt;0,1,"")))</f>
        <v/>
      </c>
      <c r="AP53" s="95" t="str">
        <f aca="false">IF(AN53&lt;&gt;1,"",IF(INDEX($L:$L,53)&lt;&gt;"",INDEX($L:$L,53),TRIM(INDEX($D:$D,53)&amp;" "&amp;INDEX($C:$C,53))))</f>
        <v/>
      </c>
      <c r="AQ53" s="43" t="str">
        <f aca="false">IF(OR(AI53="",INDEX($I:$I,53)="Yes"),"",1)</f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customFormat="false" ht="21.75" hidden="false" customHeight="true" outlineLevel="0" collapsed="false">
      <c r="A54" s="1"/>
      <c r="B54" s="113" t="str">
        <f aca="false">IF(AI54="","",COUNT($AI$7:AI54))</f>
        <v/>
      </c>
      <c r="C54" s="114"/>
      <c r="D54" s="114"/>
      <c r="E54" s="114"/>
      <c r="F54" s="114"/>
      <c r="G54" s="115"/>
      <c r="H54" s="115"/>
      <c r="I54" s="115"/>
      <c r="J54" s="115"/>
      <c r="K54" s="115"/>
      <c r="L54" s="114"/>
      <c r="M54" s="114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4"/>
      <c r="Y54" s="114"/>
      <c r="Z54" s="115"/>
      <c r="AA54" s="114"/>
      <c r="AB54" s="114"/>
      <c r="AC54" s="115"/>
      <c r="AD54" s="116"/>
      <c r="AE54" s="114"/>
      <c r="AF54" s="114"/>
      <c r="AG54" s="114"/>
      <c r="AH54" s="1"/>
      <c r="AI54" s="95" t="str">
        <f aca="false">IF(INDEX($C:$C,54)&amp;INDEX($D:$D,54)="","",1)</f>
        <v/>
      </c>
      <c r="AJ54" s="95" t="str">
        <f aca="false">IF(OR(AI54="",INDEX($Z:$Z,54)="",INDEX($U:$U,54)="Declined"),"",1)</f>
        <v/>
      </c>
      <c r="AK54" s="95" t="str">
        <f aca="false">IF(AJ54="","",INDEX($Z:$Z,54)&amp;"-"&amp;COUNTIFS($Z$7:Z54,INDEX($Z:$Z,54),$AJ$7:AJ54,1))</f>
        <v/>
      </c>
      <c r="AL54" s="43" t="str">
        <f aca="false">IF(AI54="","",TRIM(INDEX($D:$D,54)&amp;" "&amp;INDEX($C:$C,54))&amp;IF(INDEX($I:$I,54)="Yes"," (child)",""))</f>
        <v/>
      </c>
      <c r="AM54" s="95" t="str">
        <f aca="false">IF(OR(AI54="",INDEX($X:$X,54)="",INDEX($U:$U,54)="Declined"),"",COUNTIFS($X$7:X54,"?*",$U$7:U54,"&lt;&gt;Declined",$AI$7:AI54,1))</f>
        <v/>
      </c>
      <c r="AN54" s="95" t="str">
        <f aca="false">IF(AI54="","",IF(INDEX($L:$L,54)="",1,IF(COUNTIF($L$7:L54,INDEX($L:$L,54))=1,1,"")))</f>
        <v/>
      </c>
      <c r="AO54" s="95" t="str">
        <f aca="false">IF(AN54&lt;&gt;1,"",IF(INDEX($L:$L,54)="",IF(INDEX($S:$S,54)="Yes",1,""),IF(COUNTIFS($L$7:$L$506,INDEX($L:$L,54),$S$7:$S$506,"Yes")&gt;0,1,"")))</f>
        <v/>
      </c>
      <c r="AP54" s="95" t="str">
        <f aca="false">IF(AN54&lt;&gt;1,"",IF(INDEX($L:$L,54)&lt;&gt;"",INDEX($L:$L,54),TRIM(INDEX($D:$D,54)&amp;" "&amp;INDEX($C:$C,54))))</f>
        <v/>
      </c>
      <c r="AQ54" s="43" t="str">
        <f aca="false">IF(OR(AI54="",INDEX($I:$I,54)="Yes"),"",1)</f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customFormat="false" ht="21.75" hidden="false" customHeight="true" outlineLevel="0" collapsed="false">
      <c r="A55" s="1"/>
      <c r="B55" s="113" t="str">
        <f aca="false">IF(AI55="","",COUNT($AI$7:AI55))</f>
        <v/>
      </c>
      <c r="C55" s="114"/>
      <c r="D55" s="114"/>
      <c r="E55" s="114"/>
      <c r="F55" s="114"/>
      <c r="G55" s="115"/>
      <c r="H55" s="115"/>
      <c r="I55" s="115"/>
      <c r="J55" s="115"/>
      <c r="K55" s="115"/>
      <c r="L55" s="114"/>
      <c r="M55" s="114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4"/>
      <c r="Y55" s="114"/>
      <c r="Z55" s="115"/>
      <c r="AA55" s="114"/>
      <c r="AB55" s="114"/>
      <c r="AC55" s="115"/>
      <c r="AD55" s="116"/>
      <c r="AE55" s="114"/>
      <c r="AF55" s="114"/>
      <c r="AG55" s="114"/>
      <c r="AH55" s="1"/>
      <c r="AI55" s="95" t="str">
        <f aca="false">IF(INDEX($C:$C,55)&amp;INDEX($D:$D,55)="","",1)</f>
        <v/>
      </c>
      <c r="AJ55" s="95" t="str">
        <f aca="false">IF(OR(AI55="",INDEX($Z:$Z,55)="",INDEX($U:$U,55)="Declined"),"",1)</f>
        <v/>
      </c>
      <c r="AK55" s="95" t="str">
        <f aca="false">IF(AJ55="","",INDEX($Z:$Z,55)&amp;"-"&amp;COUNTIFS($Z$7:Z55,INDEX($Z:$Z,55),$AJ$7:AJ55,1))</f>
        <v/>
      </c>
      <c r="AL55" s="43" t="str">
        <f aca="false">IF(AI55="","",TRIM(INDEX($D:$D,55)&amp;" "&amp;INDEX($C:$C,55))&amp;IF(INDEX($I:$I,55)="Yes"," (child)",""))</f>
        <v/>
      </c>
      <c r="AM55" s="95" t="str">
        <f aca="false">IF(OR(AI55="",INDEX($X:$X,55)="",INDEX($U:$U,55)="Declined"),"",COUNTIFS($X$7:X55,"?*",$U$7:U55,"&lt;&gt;Declined",$AI$7:AI55,1))</f>
        <v/>
      </c>
      <c r="AN55" s="95" t="str">
        <f aca="false">IF(AI55="","",IF(INDEX($L:$L,55)="",1,IF(COUNTIF($L$7:L55,INDEX($L:$L,55))=1,1,"")))</f>
        <v/>
      </c>
      <c r="AO55" s="95" t="str">
        <f aca="false">IF(AN55&lt;&gt;1,"",IF(INDEX($L:$L,55)="",IF(INDEX($S:$S,55)="Yes",1,""),IF(COUNTIFS($L$7:$L$506,INDEX($L:$L,55),$S$7:$S$506,"Yes")&gt;0,1,"")))</f>
        <v/>
      </c>
      <c r="AP55" s="95" t="str">
        <f aca="false">IF(AN55&lt;&gt;1,"",IF(INDEX($L:$L,55)&lt;&gt;"",INDEX($L:$L,55),TRIM(INDEX($D:$D,55)&amp;" "&amp;INDEX($C:$C,55))))</f>
        <v/>
      </c>
      <c r="AQ55" s="43" t="str">
        <f aca="false">IF(OR(AI55="",INDEX($I:$I,55)="Yes"),"",1)</f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customFormat="false" ht="21.75" hidden="false" customHeight="true" outlineLevel="0" collapsed="false">
      <c r="A56" s="1"/>
      <c r="B56" s="113" t="str">
        <f aca="false">IF(AI56="","",COUNT($AI$7:AI56))</f>
        <v/>
      </c>
      <c r="C56" s="114"/>
      <c r="D56" s="114"/>
      <c r="E56" s="114"/>
      <c r="F56" s="114"/>
      <c r="G56" s="115"/>
      <c r="H56" s="115"/>
      <c r="I56" s="115"/>
      <c r="J56" s="115"/>
      <c r="K56" s="115"/>
      <c r="L56" s="114"/>
      <c r="M56" s="114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4"/>
      <c r="Y56" s="114"/>
      <c r="Z56" s="115"/>
      <c r="AA56" s="114"/>
      <c r="AB56" s="114"/>
      <c r="AC56" s="115"/>
      <c r="AD56" s="116"/>
      <c r="AE56" s="114"/>
      <c r="AF56" s="114"/>
      <c r="AG56" s="114"/>
      <c r="AH56" s="1"/>
      <c r="AI56" s="95" t="str">
        <f aca="false">IF(INDEX($C:$C,56)&amp;INDEX($D:$D,56)="","",1)</f>
        <v/>
      </c>
      <c r="AJ56" s="95" t="str">
        <f aca="false">IF(OR(AI56="",INDEX($Z:$Z,56)="",INDEX($U:$U,56)="Declined"),"",1)</f>
        <v/>
      </c>
      <c r="AK56" s="95" t="str">
        <f aca="false">IF(AJ56="","",INDEX($Z:$Z,56)&amp;"-"&amp;COUNTIFS($Z$7:Z56,INDEX($Z:$Z,56),$AJ$7:AJ56,1))</f>
        <v/>
      </c>
      <c r="AL56" s="43" t="str">
        <f aca="false">IF(AI56="","",TRIM(INDEX($D:$D,56)&amp;" "&amp;INDEX($C:$C,56))&amp;IF(INDEX($I:$I,56)="Yes"," (child)",""))</f>
        <v/>
      </c>
      <c r="AM56" s="95" t="str">
        <f aca="false">IF(OR(AI56="",INDEX($X:$X,56)="",INDEX($U:$U,56)="Declined"),"",COUNTIFS($X$7:X56,"?*",$U$7:U56,"&lt;&gt;Declined",$AI$7:AI56,1))</f>
        <v/>
      </c>
      <c r="AN56" s="95" t="str">
        <f aca="false">IF(AI56="","",IF(INDEX($L:$L,56)="",1,IF(COUNTIF($L$7:L56,INDEX($L:$L,56))=1,1,"")))</f>
        <v/>
      </c>
      <c r="AO56" s="95" t="str">
        <f aca="false">IF(AN56&lt;&gt;1,"",IF(INDEX($L:$L,56)="",IF(INDEX($S:$S,56)="Yes",1,""),IF(COUNTIFS($L$7:$L$506,INDEX($L:$L,56),$S$7:$S$506,"Yes")&gt;0,1,"")))</f>
        <v/>
      </c>
      <c r="AP56" s="95" t="str">
        <f aca="false">IF(AN56&lt;&gt;1,"",IF(INDEX($L:$L,56)&lt;&gt;"",INDEX($L:$L,56),TRIM(INDEX($D:$D,56)&amp;" "&amp;INDEX($C:$C,56))))</f>
        <v/>
      </c>
      <c r="AQ56" s="43" t="str">
        <f aca="false">IF(OR(AI56="",INDEX($I:$I,56)="Yes"),"",1)</f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customFormat="false" ht="21.75" hidden="false" customHeight="true" outlineLevel="0" collapsed="false">
      <c r="A57" s="1"/>
      <c r="B57" s="113" t="str">
        <f aca="false">IF(AI57="","",COUNT($AI$7:AI57))</f>
        <v/>
      </c>
      <c r="C57" s="114"/>
      <c r="D57" s="114"/>
      <c r="E57" s="114"/>
      <c r="F57" s="114"/>
      <c r="G57" s="115"/>
      <c r="H57" s="115"/>
      <c r="I57" s="115"/>
      <c r="J57" s="115"/>
      <c r="K57" s="115"/>
      <c r="L57" s="114"/>
      <c r="M57" s="114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4"/>
      <c r="Y57" s="114"/>
      <c r="Z57" s="115"/>
      <c r="AA57" s="114"/>
      <c r="AB57" s="114"/>
      <c r="AC57" s="115"/>
      <c r="AD57" s="116"/>
      <c r="AE57" s="114"/>
      <c r="AF57" s="114"/>
      <c r="AG57" s="114"/>
      <c r="AH57" s="1"/>
      <c r="AI57" s="95" t="str">
        <f aca="false">IF(INDEX($C:$C,57)&amp;INDEX($D:$D,57)="","",1)</f>
        <v/>
      </c>
      <c r="AJ57" s="95" t="str">
        <f aca="false">IF(OR(AI57="",INDEX($Z:$Z,57)="",INDEX($U:$U,57)="Declined"),"",1)</f>
        <v/>
      </c>
      <c r="AK57" s="95" t="str">
        <f aca="false">IF(AJ57="","",INDEX($Z:$Z,57)&amp;"-"&amp;COUNTIFS($Z$7:Z57,INDEX($Z:$Z,57),$AJ$7:AJ57,1))</f>
        <v/>
      </c>
      <c r="AL57" s="43" t="str">
        <f aca="false">IF(AI57="","",TRIM(INDEX($D:$D,57)&amp;" "&amp;INDEX($C:$C,57))&amp;IF(INDEX($I:$I,57)="Yes"," (child)",""))</f>
        <v/>
      </c>
      <c r="AM57" s="95" t="str">
        <f aca="false">IF(OR(AI57="",INDEX($X:$X,57)="",INDEX($U:$U,57)="Declined"),"",COUNTIFS($X$7:X57,"?*",$U$7:U57,"&lt;&gt;Declined",$AI$7:AI57,1))</f>
        <v/>
      </c>
      <c r="AN57" s="95" t="str">
        <f aca="false">IF(AI57="","",IF(INDEX($L:$L,57)="",1,IF(COUNTIF($L$7:L57,INDEX($L:$L,57))=1,1,"")))</f>
        <v/>
      </c>
      <c r="AO57" s="95" t="str">
        <f aca="false">IF(AN57&lt;&gt;1,"",IF(INDEX($L:$L,57)="",IF(INDEX($S:$S,57)="Yes",1,""),IF(COUNTIFS($L$7:$L$506,INDEX($L:$L,57),$S$7:$S$506,"Yes")&gt;0,1,"")))</f>
        <v/>
      </c>
      <c r="AP57" s="95" t="str">
        <f aca="false">IF(AN57&lt;&gt;1,"",IF(INDEX($L:$L,57)&lt;&gt;"",INDEX($L:$L,57),TRIM(INDEX($D:$D,57)&amp;" "&amp;INDEX($C:$C,57))))</f>
        <v/>
      </c>
      <c r="AQ57" s="43" t="str">
        <f aca="false">IF(OR(AI57="",INDEX($I:$I,57)="Yes"),"",1)</f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customFormat="false" ht="21.75" hidden="false" customHeight="true" outlineLevel="0" collapsed="false">
      <c r="A58" s="1"/>
      <c r="B58" s="113" t="str">
        <f aca="false">IF(AI58="","",COUNT($AI$7:AI58))</f>
        <v/>
      </c>
      <c r="C58" s="114"/>
      <c r="D58" s="114"/>
      <c r="E58" s="114"/>
      <c r="F58" s="114"/>
      <c r="G58" s="115"/>
      <c r="H58" s="115"/>
      <c r="I58" s="115"/>
      <c r="J58" s="115"/>
      <c r="K58" s="115"/>
      <c r="L58" s="114"/>
      <c r="M58" s="114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4"/>
      <c r="Y58" s="114"/>
      <c r="Z58" s="115"/>
      <c r="AA58" s="114"/>
      <c r="AB58" s="114"/>
      <c r="AC58" s="115"/>
      <c r="AD58" s="116"/>
      <c r="AE58" s="114"/>
      <c r="AF58" s="114"/>
      <c r="AG58" s="114"/>
      <c r="AH58" s="1"/>
      <c r="AI58" s="95" t="str">
        <f aca="false">IF(INDEX($C:$C,58)&amp;INDEX($D:$D,58)="","",1)</f>
        <v/>
      </c>
      <c r="AJ58" s="95" t="str">
        <f aca="false">IF(OR(AI58="",INDEX($Z:$Z,58)="",INDEX($U:$U,58)="Declined"),"",1)</f>
        <v/>
      </c>
      <c r="AK58" s="95" t="str">
        <f aca="false">IF(AJ58="","",INDEX($Z:$Z,58)&amp;"-"&amp;COUNTIFS($Z$7:Z58,INDEX($Z:$Z,58),$AJ$7:AJ58,1))</f>
        <v/>
      </c>
      <c r="AL58" s="43" t="str">
        <f aca="false">IF(AI58="","",TRIM(INDEX($D:$D,58)&amp;" "&amp;INDEX($C:$C,58))&amp;IF(INDEX($I:$I,58)="Yes"," (child)",""))</f>
        <v/>
      </c>
      <c r="AM58" s="95" t="str">
        <f aca="false">IF(OR(AI58="",INDEX($X:$X,58)="",INDEX($U:$U,58)="Declined"),"",COUNTIFS($X$7:X58,"?*",$U$7:U58,"&lt;&gt;Declined",$AI$7:AI58,1))</f>
        <v/>
      </c>
      <c r="AN58" s="95" t="str">
        <f aca="false">IF(AI58="","",IF(INDEX($L:$L,58)="",1,IF(COUNTIF($L$7:L58,INDEX($L:$L,58))=1,1,"")))</f>
        <v/>
      </c>
      <c r="AO58" s="95" t="str">
        <f aca="false">IF(AN58&lt;&gt;1,"",IF(INDEX($L:$L,58)="",IF(INDEX($S:$S,58)="Yes",1,""),IF(COUNTIFS($L$7:$L$506,INDEX($L:$L,58),$S$7:$S$506,"Yes")&gt;0,1,"")))</f>
        <v/>
      </c>
      <c r="AP58" s="95" t="str">
        <f aca="false">IF(AN58&lt;&gt;1,"",IF(INDEX($L:$L,58)&lt;&gt;"",INDEX($L:$L,58),TRIM(INDEX($D:$D,58)&amp;" "&amp;INDEX($C:$C,58))))</f>
        <v/>
      </c>
      <c r="AQ58" s="43" t="str">
        <f aca="false">IF(OR(AI58="",INDEX($I:$I,58)="Yes"),"",1)</f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customFormat="false" ht="21.75" hidden="false" customHeight="true" outlineLevel="0" collapsed="false">
      <c r="A59" s="1"/>
      <c r="B59" s="113" t="str">
        <f aca="false">IF(AI59="","",COUNT($AI$7:AI59))</f>
        <v/>
      </c>
      <c r="C59" s="114"/>
      <c r="D59" s="114"/>
      <c r="E59" s="114"/>
      <c r="F59" s="114"/>
      <c r="G59" s="115"/>
      <c r="H59" s="115"/>
      <c r="I59" s="115"/>
      <c r="J59" s="115"/>
      <c r="K59" s="115"/>
      <c r="L59" s="114"/>
      <c r="M59" s="114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4"/>
      <c r="Y59" s="114"/>
      <c r="Z59" s="115"/>
      <c r="AA59" s="114"/>
      <c r="AB59" s="114"/>
      <c r="AC59" s="115"/>
      <c r="AD59" s="116"/>
      <c r="AE59" s="114"/>
      <c r="AF59" s="114"/>
      <c r="AG59" s="114"/>
      <c r="AH59" s="1"/>
      <c r="AI59" s="95" t="str">
        <f aca="false">IF(INDEX($C:$C,59)&amp;INDEX($D:$D,59)="","",1)</f>
        <v/>
      </c>
      <c r="AJ59" s="95" t="str">
        <f aca="false">IF(OR(AI59="",INDEX($Z:$Z,59)="",INDEX($U:$U,59)="Declined"),"",1)</f>
        <v/>
      </c>
      <c r="AK59" s="95" t="str">
        <f aca="false">IF(AJ59="","",INDEX($Z:$Z,59)&amp;"-"&amp;COUNTIFS($Z$7:Z59,INDEX($Z:$Z,59),$AJ$7:AJ59,1))</f>
        <v/>
      </c>
      <c r="AL59" s="43" t="str">
        <f aca="false">IF(AI59="","",TRIM(INDEX($D:$D,59)&amp;" "&amp;INDEX($C:$C,59))&amp;IF(INDEX($I:$I,59)="Yes"," (child)",""))</f>
        <v/>
      </c>
      <c r="AM59" s="95" t="str">
        <f aca="false">IF(OR(AI59="",INDEX($X:$X,59)="",INDEX($U:$U,59)="Declined"),"",COUNTIFS($X$7:X59,"?*",$U$7:U59,"&lt;&gt;Declined",$AI$7:AI59,1))</f>
        <v/>
      </c>
      <c r="AN59" s="95" t="str">
        <f aca="false">IF(AI59="","",IF(INDEX($L:$L,59)="",1,IF(COUNTIF($L$7:L59,INDEX($L:$L,59))=1,1,"")))</f>
        <v/>
      </c>
      <c r="AO59" s="95" t="str">
        <f aca="false">IF(AN59&lt;&gt;1,"",IF(INDEX($L:$L,59)="",IF(INDEX($S:$S,59)="Yes",1,""),IF(COUNTIFS($L$7:$L$506,INDEX($L:$L,59),$S$7:$S$506,"Yes")&gt;0,1,"")))</f>
        <v/>
      </c>
      <c r="AP59" s="95" t="str">
        <f aca="false">IF(AN59&lt;&gt;1,"",IF(INDEX($L:$L,59)&lt;&gt;"",INDEX($L:$L,59),TRIM(INDEX($D:$D,59)&amp;" "&amp;INDEX($C:$C,59))))</f>
        <v/>
      </c>
      <c r="AQ59" s="43" t="str">
        <f aca="false">IF(OR(AI59="",INDEX($I:$I,59)="Yes"),"",1)</f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customFormat="false" ht="21.75" hidden="false" customHeight="true" outlineLevel="0" collapsed="false">
      <c r="A60" s="1"/>
      <c r="B60" s="113" t="str">
        <f aca="false">IF(AI60="","",COUNT($AI$7:AI60))</f>
        <v/>
      </c>
      <c r="C60" s="114"/>
      <c r="D60" s="114"/>
      <c r="E60" s="114"/>
      <c r="F60" s="114"/>
      <c r="G60" s="115"/>
      <c r="H60" s="115"/>
      <c r="I60" s="115"/>
      <c r="J60" s="115"/>
      <c r="K60" s="115"/>
      <c r="L60" s="114"/>
      <c r="M60" s="114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4"/>
      <c r="Y60" s="114"/>
      <c r="Z60" s="115"/>
      <c r="AA60" s="114"/>
      <c r="AB60" s="114"/>
      <c r="AC60" s="115"/>
      <c r="AD60" s="116"/>
      <c r="AE60" s="114"/>
      <c r="AF60" s="114"/>
      <c r="AG60" s="114"/>
      <c r="AH60" s="1"/>
      <c r="AI60" s="95" t="str">
        <f aca="false">IF(INDEX($C:$C,60)&amp;INDEX($D:$D,60)="","",1)</f>
        <v/>
      </c>
      <c r="AJ60" s="95" t="str">
        <f aca="false">IF(OR(AI60="",INDEX($Z:$Z,60)="",INDEX($U:$U,60)="Declined"),"",1)</f>
        <v/>
      </c>
      <c r="AK60" s="95" t="str">
        <f aca="false">IF(AJ60="","",INDEX($Z:$Z,60)&amp;"-"&amp;COUNTIFS($Z$7:Z60,INDEX($Z:$Z,60),$AJ$7:AJ60,1))</f>
        <v/>
      </c>
      <c r="AL60" s="43" t="str">
        <f aca="false">IF(AI60="","",TRIM(INDEX($D:$D,60)&amp;" "&amp;INDEX($C:$C,60))&amp;IF(INDEX($I:$I,60)="Yes"," (child)",""))</f>
        <v/>
      </c>
      <c r="AM60" s="95" t="str">
        <f aca="false">IF(OR(AI60="",INDEX($X:$X,60)="",INDEX($U:$U,60)="Declined"),"",COUNTIFS($X$7:X60,"?*",$U$7:U60,"&lt;&gt;Declined",$AI$7:AI60,1))</f>
        <v/>
      </c>
      <c r="AN60" s="95" t="str">
        <f aca="false">IF(AI60="","",IF(INDEX($L:$L,60)="",1,IF(COUNTIF($L$7:L60,INDEX($L:$L,60))=1,1,"")))</f>
        <v/>
      </c>
      <c r="AO60" s="95" t="str">
        <f aca="false">IF(AN60&lt;&gt;1,"",IF(INDEX($L:$L,60)="",IF(INDEX($S:$S,60)="Yes",1,""),IF(COUNTIFS($L$7:$L$506,INDEX($L:$L,60),$S$7:$S$506,"Yes")&gt;0,1,"")))</f>
        <v/>
      </c>
      <c r="AP60" s="95" t="str">
        <f aca="false">IF(AN60&lt;&gt;1,"",IF(INDEX($L:$L,60)&lt;&gt;"",INDEX($L:$L,60),TRIM(INDEX($D:$D,60)&amp;" "&amp;INDEX($C:$C,60))))</f>
        <v/>
      </c>
      <c r="AQ60" s="43" t="str">
        <f aca="false">IF(OR(AI60="",INDEX($I:$I,60)="Yes"),"",1)</f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customFormat="false" ht="21.75" hidden="false" customHeight="true" outlineLevel="0" collapsed="false">
      <c r="A61" s="1"/>
      <c r="B61" s="113" t="str">
        <f aca="false">IF(AI61="","",COUNT($AI$7:AI61))</f>
        <v/>
      </c>
      <c r="C61" s="114"/>
      <c r="D61" s="114"/>
      <c r="E61" s="114"/>
      <c r="F61" s="114"/>
      <c r="G61" s="115"/>
      <c r="H61" s="115"/>
      <c r="I61" s="115"/>
      <c r="J61" s="115"/>
      <c r="K61" s="115"/>
      <c r="L61" s="114"/>
      <c r="M61" s="114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4"/>
      <c r="Y61" s="114"/>
      <c r="Z61" s="115"/>
      <c r="AA61" s="114"/>
      <c r="AB61" s="114"/>
      <c r="AC61" s="115"/>
      <c r="AD61" s="116"/>
      <c r="AE61" s="114"/>
      <c r="AF61" s="114"/>
      <c r="AG61" s="114"/>
      <c r="AH61" s="1"/>
      <c r="AI61" s="95" t="str">
        <f aca="false">IF(INDEX($C:$C,61)&amp;INDEX($D:$D,61)="","",1)</f>
        <v/>
      </c>
      <c r="AJ61" s="95" t="str">
        <f aca="false">IF(OR(AI61="",INDEX($Z:$Z,61)="",INDEX($U:$U,61)="Declined"),"",1)</f>
        <v/>
      </c>
      <c r="AK61" s="95" t="str">
        <f aca="false">IF(AJ61="","",INDEX($Z:$Z,61)&amp;"-"&amp;COUNTIFS($Z$7:Z61,INDEX($Z:$Z,61),$AJ$7:AJ61,1))</f>
        <v/>
      </c>
      <c r="AL61" s="43" t="str">
        <f aca="false">IF(AI61="","",TRIM(INDEX($D:$D,61)&amp;" "&amp;INDEX($C:$C,61))&amp;IF(INDEX($I:$I,61)="Yes"," (child)",""))</f>
        <v/>
      </c>
      <c r="AM61" s="95" t="str">
        <f aca="false">IF(OR(AI61="",INDEX($X:$X,61)="",INDEX($U:$U,61)="Declined"),"",COUNTIFS($X$7:X61,"?*",$U$7:U61,"&lt;&gt;Declined",$AI$7:AI61,1))</f>
        <v/>
      </c>
      <c r="AN61" s="95" t="str">
        <f aca="false">IF(AI61="","",IF(INDEX($L:$L,61)="",1,IF(COUNTIF($L$7:L61,INDEX($L:$L,61))=1,1,"")))</f>
        <v/>
      </c>
      <c r="AO61" s="95" t="str">
        <f aca="false">IF(AN61&lt;&gt;1,"",IF(INDEX($L:$L,61)="",IF(INDEX($S:$S,61)="Yes",1,""),IF(COUNTIFS($L$7:$L$506,INDEX($L:$L,61),$S$7:$S$506,"Yes")&gt;0,1,"")))</f>
        <v/>
      </c>
      <c r="AP61" s="95" t="str">
        <f aca="false">IF(AN61&lt;&gt;1,"",IF(INDEX($L:$L,61)&lt;&gt;"",INDEX($L:$L,61),TRIM(INDEX($D:$D,61)&amp;" "&amp;INDEX($C:$C,61))))</f>
        <v/>
      </c>
      <c r="AQ61" s="43" t="str">
        <f aca="false">IF(OR(AI61="",INDEX($I:$I,61)="Yes"),"",1)</f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customFormat="false" ht="21.75" hidden="false" customHeight="true" outlineLevel="0" collapsed="false">
      <c r="A62" s="1"/>
      <c r="B62" s="113" t="str">
        <f aca="false">IF(AI62="","",COUNT($AI$7:AI62))</f>
        <v/>
      </c>
      <c r="C62" s="114"/>
      <c r="D62" s="114"/>
      <c r="E62" s="114"/>
      <c r="F62" s="114"/>
      <c r="G62" s="115"/>
      <c r="H62" s="115"/>
      <c r="I62" s="115"/>
      <c r="J62" s="115"/>
      <c r="K62" s="115"/>
      <c r="L62" s="114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4"/>
      <c r="Y62" s="114"/>
      <c r="Z62" s="115"/>
      <c r="AA62" s="114"/>
      <c r="AB62" s="114"/>
      <c r="AC62" s="115"/>
      <c r="AD62" s="116"/>
      <c r="AE62" s="114"/>
      <c r="AF62" s="114"/>
      <c r="AG62" s="114"/>
      <c r="AH62" s="1"/>
      <c r="AI62" s="95" t="str">
        <f aca="false">IF(INDEX($C:$C,62)&amp;INDEX($D:$D,62)="","",1)</f>
        <v/>
      </c>
      <c r="AJ62" s="95" t="str">
        <f aca="false">IF(OR(AI62="",INDEX($Z:$Z,62)="",INDEX($U:$U,62)="Declined"),"",1)</f>
        <v/>
      </c>
      <c r="AK62" s="95" t="str">
        <f aca="false">IF(AJ62="","",INDEX($Z:$Z,62)&amp;"-"&amp;COUNTIFS($Z$7:Z62,INDEX($Z:$Z,62),$AJ$7:AJ62,1))</f>
        <v/>
      </c>
      <c r="AL62" s="43" t="str">
        <f aca="false">IF(AI62="","",TRIM(INDEX($D:$D,62)&amp;" "&amp;INDEX($C:$C,62))&amp;IF(INDEX($I:$I,62)="Yes"," (child)",""))</f>
        <v/>
      </c>
      <c r="AM62" s="95" t="str">
        <f aca="false">IF(OR(AI62="",INDEX($X:$X,62)="",INDEX($U:$U,62)="Declined"),"",COUNTIFS($X$7:X62,"?*",$U$7:U62,"&lt;&gt;Declined",$AI$7:AI62,1))</f>
        <v/>
      </c>
      <c r="AN62" s="95" t="str">
        <f aca="false">IF(AI62="","",IF(INDEX($L:$L,62)="",1,IF(COUNTIF($L$7:L62,INDEX($L:$L,62))=1,1,"")))</f>
        <v/>
      </c>
      <c r="AO62" s="95" t="str">
        <f aca="false">IF(AN62&lt;&gt;1,"",IF(INDEX($L:$L,62)="",IF(INDEX($S:$S,62)="Yes",1,""),IF(COUNTIFS($L$7:$L$506,INDEX($L:$L,62),$S$7:$S$506,"Yes")&gt;0,1,"")))</f>
        <v/>
      </c>
      <c r="AP62" s="95" t="str">
        <f aca="false">IF(AN62&lt;&gt;1,"",IF(INDEX($L:$L,62)&lt;&gt;"",INDEX($L:$L,62),TRIM(INDEX($D:$D,62)&amp;" "&amp;INDEX($C:$C,62))))</f>
        <v/>
      </c>
      <c r="AQ62" s="43" t="str">
        <f aca="false">IF(OR(AI62="",INDEX($I:$I,62)="Yes"),"",1)</f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customFormat="false" ht="21.75" hidden="false" customHeight="true" outlineLevel="0" collapsed="false">
      <c r="A63" s="1"/>
      <c r="B63" s="113" t="str">
        <f aca="false">IF(AI63="","",COUNT($AI$7:AI63))</f>
        <v/>
      </c>
      <c r="C63" s="114"/>
      <c r="D63" s="114"/>
      <c r="E63" s="114"/>
      <c r="F63" s="114"/>
      <c r="G63" s="115"/>
      <c r="H63" s="115"/>
      <c r="I63" s="115"/>
      <c r="J63" s="115"/>
      <c r="K63" s="115"/>
      <c r="L63" s="114"/>
      <c r="M63" s="114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4"/>
      <c r="Y63" s="114"/>
      <c r="Z63" s="115"/>
      <c r="AA63" s="114"/>
      <c r="AB63" s="114"/>
      <c r="AC63" s="115"/>
      <c r="AD63" s="116"/>
      <c r="AE63" s="114"/>
      <c r="AF63" s="114"/>
      <c r="AG63" s="114"/>
      <c r="AH63" s="1"/>
      <c r="AI63" s="95" t="str">
        <f aca="false">IF(INDEX($C:$C,63)&amp;INDEX($D:$D,63)="","",1)</f>
        <v/>
      </c>
      <c r="AJ63" s="95" t="str">
        <f aca="false">IF(OR(AI63="",INDEX($Z:$Z,63)="",INDEX($U:$U,63)="Declined"),"",1)</f>
        <v/>
      </c>
      <c r="AK63" s="95" t="str">
        <f aca="false">IF(AJ63="","",INDEX($Z:$Z,63)&amp;"-"&amp;COUNTIFS($Z$7:Z63,INDEX($Z:$Z,63),$AJ$7:AJ63,1))</f>
        <v/>
      </c>
      <c r="AL63" s="43" t="str">
        <f aca="false">IF(AI63="","",TRIM(INDEX($D:$D,63)&amp;" "&amp;INDEX($C:$C,63))&amp;IF(INDEX($I:$I,63)="Yes"," (child)",""))</f>
        <v/>
      </c>
      <c r="AM63" s="95" t="str">
        <f aca="false">IF(OR(AI63="",INDEX($X:$X,63)="",INDEX($U:$U,63)="Declined"),"",COUNTIFS($X$7:X63,"?*",$U$7:U63,"&lt;&gt;Declined",$AI$7:AI63,1))</f>
        <v/>
      </c>
      <c r="AN63" s="95" t="str">
        <f aca="false">IF(AI63="","",IF(INDEX($L:$L,63)="",1,IF(COUNTIF($L$7:L63,INDEX($L:$L,63))=1,1,"")))</f>
        <v/>
      </c>
      <c r="AO63" s="95" t="str">
        <f aca="false">IF(AN63&lt;&gt;1,"",IF(INDEX($L:$L,63)="",IF(INDEX($S:$S,63)="Yes",1,""),IF(COUNTIFS($L$7:$L$506,INDEX($L:$L,63),$S$7:$S$506,"Yes")&gt;0,1,"")))</f>
        <v/>
      </c>
      <c r="AP63" s="95" t="str">
        <f aca="false">IF(AN63&lt;&gt;1,"",IF(INDEX($L:$L,63)&lt;&gt;"",INDEX($L:$L,63),TRIM(INDEX($D:$D,63)&amp;" "&amp;INDEX($C:$C,63))))</f>
        <v/>
      </c>
      <c r="AQ63" s="43" t="str">
        <f aca="false">IF(OR(AI63="",INDEX($I:$I,63)="Yes"),"",1)</f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customFormat="false" ht="21.75" hidden="false" customHeight="true" outlineLevel="0" collapsed="false">
      <c r="A64" s="1"/>
      <c r="B64" s="113" t="str">
        <f aca="false">IF(AI64="","",COUNT($AI$7:AI64))</f>
        <v/>
      </c>
      <c r="C64" s="114"/>
      <c r="D64" s="114"/>
      <c r="E64" s="114"/>
      <c r="F64" s="114"/>
      <c r="G64" s="115"/>
      <c r="H64" s="115"/>
      <c r="I64" s="115"/>
      <c r="J64" s="115"/>
      <c r="K64" s="115"/>
      <c r="L64" s="114"/>
      <c r="M64" s="114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4"/>
      <c r="Y64" s="114"/>
      <c r="Z64" s="115"/>
      <c r="AA64" s="114"/>
      <c r="AB64" s="114"/>
      <c r="AC64" s="115"/>
      <c r="AD64" s="116"/>
      <c r="AE64" s="114"/>
      <c r="AF64" s="114"/>
      <c r="AG64" s="114"/>
      <c r="AH64" s="1"/>
      <c r="AI64" s="95" t="str">
        <f aca="false">IF(INDEX($C:$C,64)&amp;INDEX($D:$D,64)="","",1)</f>
        <v/>
      </c>
      <c r="AJ64" s="95" t="str">
        <f aca="false">IF(OR(AI64="",INDEX($Z:$Z,64)="",INDEX($U:$U,64)="Declined"),"",1)</f>
        <v/>
      </c>
      <c r="AK64" s="95" t="str">
        <f aca="false">IF(AJ64="","",INDEX($Z:$Z,64)&amp;"-"&amp;COUNTIFS($Z$7:Z64,INDEX($Z:$Z,64),$AJ$7:AJ64,1))</f>
        <v/>
      </c>
      <c r="AL64" s="43" t="str">
        <f aca="false">IF(AI64="","",TRIM(INDEX($D:$D,64)&amp;" "&amp;INDEX($C:$C,64))&amp;IF(INDEX($I:$I,64)="Yes"," (child)",""))</f>
        <v/>
      </c>
      <c r="AM64" s="95" t="str">
        <f aca="false">IF(OR(AI64="",INDEX($X:$X,64)="",INDEX($U:$U,64)="Declined"),"",COUNTIFS($X$7:X64,"?*",$U$7:U64,"&lt;&gt;Declined",$AI$7:AI64,1))</f>
        <v/>
      </c>
      <c r="AN64" s="95" t="str">
        <f aca="false">IF(AI64="","",IF(INDEX($L:$L,64)="",1,IF(COUNTIF($L$7:L64,INDEX($L:$L,64))=1,1,"")))</f>
        <v/>
      </c>
      <c r="AO64" s="95" t="str">
        <f aca="false">IF(AN64&lt;&gt;1,"",IF(INDEX($L:$L,64)="",IF(INDEX($S:$S,64)="Yes",1,""),IF(COUNTIFS($L$7:$L$506,INDEX($L:$L,64),$S$7:$S$506,"Yes")&gt;0,1,"")))</f>
        <v/>
      </c>
      <c r="AP64" s="95" t="str">
        <f aca="false">IF(AN64&lt;&gt;1,"",IF(INDEX($L:$L,64)&lt;&gt;"",INDEX($L:$L,64),TRIM(INDEX($D:$D,64)&amp;" "&amp;INDEX($C:$C,64))))</f>
        <v/>
      </c>
      <c r="AQ64" s="43" t="str">
        <f aca="false">IF(OR(AI64="",INDEX($I:$I,64)="Yes"),"",1)</f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customFormat="false" ht="21.75" hidden="false" customHeight="true" outlineLevel="0" collapsed="false">
      <c r="A65" s="1"/>
      <c r="B65" s="113" t="str">
        <f aca="false">IF(AI65="","",COUNT($AI$7:AI65))</f>
        <v/>
      </c>
      <c r="C65" s="114"/>
      <c r="D65" s="114"/>
      <c r="E65" s="114"/>
      <c r="F65" s="114"/>
      <c r="G65" s="115"/>
      <c r="H65" s="115"/>
      <c r="I65" s="115"/>
      <c r="J65" s="115"/>
      <c r="K65" s="115"/>
      <c r="L65" s="114"/>
      <c r="M65" s="114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4"/>
      <c r="Y65" s="114"/>
      <c r="Z65" s="115"/>
      <c r="AA65" s="114"/>
      <c r="AB65" s="114"/>
      <c r="AC65" s="115"/>
      <c r="AD65" s="116"/>
      <c r="AE65" s="114"/>
      <c r="AF65" s="114"/>
      <c r="AG65" s="114"/>
      <c r="AH65" s="1"/>
      <c r="AI65" s="95" t="str">
        <f aca="false">IF(INDEX($C:$C,65)&amp;INDEX($D:$D,65)="","",1)</f>
        <v/>
      </c>
      <c r="AJ65" s="95" t="str">
        <f aca="false">IF(OR(AI65="",INDEX($Z:$Z,65)="",INDEX($U:$U,65)="Declined"),"",1)</f>
        <v/>
      </c>
      <c r="AK65" s="95" t="str">
        <f aca="false">IF(AJ65="","",INDEX($Z:$Z,65)&amp;"-"&amp;COUNTIFS($Z$7:Z65,INDEX($Z:$Z,65),$AJ$7:AJ65,1))</f>
        <v/>
      </c>
      <c r="AL65" s="43" t="str">
        <f aca="false">IF(AI65="","",TRIM(INDEX($D:$D,65)&amp;" "&amp;INDEX($C:$C,65))&amp;IF(INDEX($I:$I,65)="Yes"," (child)",""))</f>
        <v/>
      </c>
      <c r="AM65" s="95" t="str">
        <f aca="false">IF(OR(AI65="",INDEX($X:$X,65)="",INDEX($U:$U,65)="Declined"),"",COUNTIFS($X$7:X65,"?*",$U$7:U65,"&lt;&gt;Declined",$AI$7:AI65,1))</f>
        <v/>
      </c>
      <c r="AN65" s="95" t="str">
        <f aca="false">IF(AI65="","",IF(INDEX($L:$L,65)="",1,IF(COUNTIF($L$7:L65,INDEX($L:$L,65))=1,1,"")))</f>
        <v/>
      </c>
      <c r="AO65" s="95" t="str">
        <f aca="false">IF(AN65&lt;&gt;1,"",IF(INDEX($L:$L,65)="",IF(INDEX($S:$S,65)="Yes",1,""),IF(COUNTIFS($L$7:$L$506,INDEX($L:$L,65),$S$7:$S$506,"Yes")&gt;0,1,"")))</f>
        <v/>
      </c>
      <c r="AP65" s="95" t="str">
        <f aca="false">IF(AN65&lt;&gt;1,"",IF(INDEX($L:$L,65)&lt;&gt;"",INDEX($L:$L,65),TRIM(INDEX($D:$D,65)&amp;" "&amp;INDEX($C:$C,65))))</f>
        <v/>
      </c>
      <c r="AQ65" s="43" t="str">
        <f aca="false">IF(OR(AI65="",INDEX($I:$I,65)="Yes"),"",1)</f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customFormat="false" ht="21.75" hidden="false" customHeight="true" outlineLevel="0" collapsed="false">
      <c r="A66" s="1"/>
      <c r="B66" s="113" t="str">
        <f aca="false">IF(AI66="","",COUNT($AI$7:AI66))</f>
        <v/>
      </c>
      <c r="C66" s="114"/>
      <c r="D66" s="114"/>
      <c r="E66" s="114"/>
      <c r="F66" s="114"/>
      <c r="G66" s="115"/>
      <c r="H66" s="115"/>
      <c r="I66" s="115"/>
      <c r="J66" s="115"/>
      <c r="K66" s="115"/>
      <c r="L66" s="114"/>
      <c r="M66" s="114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4"/>
      <c r="Y66" s="114"/>
      <c r="Z66" s="115"/>
      <c r="AA66" s="114"/>
      <c r="AB66" s="114"/>
      <c r="AC66" s="115"/>
      <c r="AD66" s="116"/>
      <c r="AE66" s="114"/>
      <c r="AF66" s="114"/>
      <c r="AG66" s="114"/>
      <c r="AH66" s="1"/>
      <c r="AI66" s="95" t="str">
        <f aca="false">IF(INDEX($C:$C,66)&amp;INDEX($D:$D,66)="","",1)</f>
        <v/>
      </c>
      <c r="AJ66" s="95" t="str">
        <f aca="false">IF(OR(AI66="",INDEX($Z:$Z,66)="",INDEX($U:$U,66)="Declined"),"",1)</f>
        <v/>
      </c>
      <c r="AK66" s="95" t="str">
        <f aca="false">IF(AJ66="","",INDEX($Z:$Z,66)&amp;"-"&amp;COUNTIFS($Z$7:Z66,INDEX($Z:$Z,66),$AJ$7:AJ66,1))</f>
        <v/>
      </c>
      <c r="AL66" s="43" t="str">
        <f aca="false">IF(AI66="","",TRIM(INDEX($D:$D,66)&amp;" "&amp;INDEX($C:$C,66))&amp;IF(INDEX($I:$I,66)="Yes"," (child)",""))</f>
        <v/>
      </c>
      <c r="AM66" s="95" t="str">
        <f aca="false">IF(OR(AI66="",INDEX($X:$X,66)="",INDEX($U:$U,66)="Declined"),"",COUNTIFS($X$7:X66,"?*",$U$7:U66,"&lt;&gt;Declined",$AI$7:AI66,1))</f>
        <v/>
      </c>
      <c r="AN66" s="95" t="str">
        <f aca="false">IF(AI66="","",IF(INDEX($L:$L,66)="",1,IF(COUNTIF($L$7:L66,INDEX($L:$L,66))=1,1,"")))</f>
        <v/>
      </c>
      <c r="AO66" s="95" t="str">
        <f aca="false">IF(AN66&lt;&gt;1,"",IF(INDEX($L:$L,66)="",IF(INDEX($S:$S,66)="Yes",1,""),IF(COUNTIFS($L$7:$L$506,INDEX($L:$L,66),$S$7:$S$506,"Yes")&gt;0,1,"")))</f>
        <v/>
      </c>
      <c r="AP66" s="95" t="str">
        <f aca="false">IF(AN66&lt;&gt;1,"",IF(INDEX($L:$L,66)&lt;&gt;"",INDEX($L:$L,66),TRIM(INDEX($D:$D,66)&amp;" "&amp;INDEX($C:$C,66))))</f>
        <v/>
      </c>
      <c r="AQ66" s="43" t="str">
        <f aca="false">IF(OR(AI66="",INDEX($I:$I,66)="Yes"),"",1)</f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customFormat="false" ht="21.75" hidden="false" customHeight="true" outlineLevel="0" collapsed="false">
      <c r="A67" s="1"/>
      <c r="B67" s="113" t="str">
        <f aca="false">IF(AI67="","",COUNT($AI$7:AI67))</f>
        <v/>
      </c>
      <c r="C67" s="114"/>
      <c r="D67" s="114"/>
      <c r="E67" s="114"/>
      <c r="F67" s="114"/>
      <c r="G67" s="115"/>
      <c r="H67" s="115"/>
      <c r="I67" s="115"/>
      <c r="J67" s="115"/>
      <c r="K67" s="115"/>
      <c r="L67" s="114"/>
      <c r="M67" s="114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4"/>
      <c r="Y67" s="114"/>
      <c r="Z67" s="115"/>
      <c r="AA67" s="114"/>
      <c r="AB67" s="114"/>
      <c r="AC67" s="115"/>
      <c r="AD67" s="116"/>
      <c r="AE67" s="114"/>
      <c r="AF67" s="114"/>
      <c r="AG67" s="114"/>
      <c r="AH67" s="1"/>
      <c r="AI67" s="95" t="str">
        <f aca="false">IF(INDEX($C:$C,67)&amp;INDEX($D:$D,67)="","",1)</f>
        <v/>
      </c>
      <c r="AJ67" s="95" t="str">
        <f aca="false">IF(OR(AI67="",INDEX($Z:$Z,67)="",INDEX($U:$U,67)="Declined"),"",1)</f>
        <v/>
      </c>
      <c r="AK67" s="95" t="str">
        <f aca="false">IF(AJ67="","",INDEX($Z:$Z,67)&amp;"-"&amp;COUNTIFS($Z$7:Z67,INDEX($Z:$Z,67),$AJ$7:AJ67,1))</f>
        <v/>
      </c>
      <c r="AL67" s="43" t="str">
        <f aca="false">IF(AI67="","",TRIM(INDEX($D:$D,67)&amp;" "&amp;INDEX($C:$C,67))&amp;IF(INDEX($I:$I,67)="Yes"," (child)",""))</f>
        <v/>
      </c>
      <c r="AM67" s="95" t="str">
        <f aca="false">IF(OR(AI67="",INDEX($X:$X,67)="",INDEX($U:$U,67)="Declined"),"",COUNTIFS($X$7:X67,"?*",$U$7:U67,"&lt;&gt;Declined",$AI$7:AI67,1))</f>
        <v/>
      </c>
      <c r="AN67" s="95" t="str">
        <f aca="false">IF(AI67="","",IF(INDEX($L:$L,67)="",1,IF(COUNTIF($L$7:L67,INDEX($L:$L,67))=1,1,"")))</f>
        <v/>
      </c>
      <c r="AO67" s="95" t="str">
        <f aca="false">IF(AN67&lt;&gt;1,"",IF(INDEX($L:$L,67)="",IF(INDEX($S:$S,67)="Yes",1,""),IF(COUNTIFS($L$7:$L$506,INDEX($L:$L,67),$S$7:$S$506,"Yes")&gt;0,1,"")))</f>
        <v/>
      </c>
      <c r="AP67" s="95" t="str">
        <f aca="false">IF(AN67&lt;&gt;1,"",IF(INDEX($L:$L,67)&lt;&gt;"",INDEX($L:$L,67),TRIM(INDEX($D:$D,67)&amp;" "&amp;INDEX($C:$C,67))))</f>
        <v/>
      </c>
      <c r="AQ67" s="43" t="str">
        <f aca="false">IF(OR(AI67="",INDEX($I:$I,67)="Yes"),"",1)</f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customFormat="false" ht="21.75" hidden="false" customHeight="true" outlineLevel="0" collapsed="false">
      <c r="A68" s="1"/>
      <c r="B68" s="113" t="str">
        <f aca="false">IF(AI68="","",COUNT($AI$7:AI68))</f>
        <v/>
      </c>
      <c r="C68" s="114"/>
      <c r="D68" s="114"/>
      <c r="E68" s="114"/>
      <c r="F68" s="114"/>
      <c r="G68" s="115"/>
      <c r="H68" s="115"/>
      <c r="I68" s="115"/>
      <c r="J68" s="115"/>
      <c r="K68" s="115"/>
      <c r="L68" s="114"/>
      <c r="M68" s="114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4"/>
      <c r="Y68" s="114"/>
      <c r="Z68" s="115"/>
      <c r="AA68" s="114"/>
      <c r="AB68" s="114"/>
      <c r="AC68" s="115"/>
      <c r="AD68" s="116"/>
      <c r="AE68" s="114"/>
      <c r="AF68" s="114"/>
      <c r="AG68" s="114"/>
      <c r="AH68" s="1"/>
      <c r="AI68" s="95" t="str">
        <f aca="false">IF(INDEX($C:$C,68)&amp;INDEX($D:$D,68)="","",1)</f>
        <v/>
      </c>
      <c r="AJ68" s="95" t="str">
        <f aca="false">IF(OR(AI68="",INDEX($Z:$Z,68)="",INDEX($U:$U,68)="Declined"),"",1)</f>
        <v/>
      </c>
      <c r="AK68" s="95" t="str">
        <f aca="false">IF(AJ68="","",INDEX($Z:$Z,68)&amp;"-"&amp;COUNTIFS($Z$7:Z68,INDEX($Z:$Z,68),$AJ$7:AJ68,1))</f>
        <v/>
      </c>
      <c r="AL68" s="43" t="str">
        <f aca="false">IF(AI68="","",TRIM(INDEX($D:$D,68)&amp;" "&amp;INDEX($C:$C,68))&amp;IF(INDEX($I:$I,68)="Yes"," (child)",""))</f>
        <v/>
      </c>
      <c r="AM68" s="95" t="str">
        <f aca="false">IF(OR(AI68="",INDEX($X:$X,68)="",INDEX($U:$U,68)="Declined"),"",COUNTIFS($X$7:X68,"?*",$U$7:U68,"&lt;&gt;Declined",$AI$7:AI68,1))</f>
        <v/>
      </c>
      <c r="AN68" s="95" t="str">
        <f aca="false">IF(AI68="","",IF(INDEX($L:$L,68)="",1,IF(COUNTIF($L$7:L68,INDEX($L:$L,68))=1,1,"")))</f>
        <v/>
      </c>
      <c r="AO68" s="95" t="str">
        <f aca="false">IF(AN68&lt;&gt;1,"",IF(INDEX($L:$L,68)="",IF(INDEX($S:$S,68)="Yes",1,""),IF(COUNTIFS($L$7:$L$506,INDEX($L:$L,68),$S$7:$S$506,"Yes")&gt;0,1,"")))</f>
        <v/>
      </c>
      <c r="AP68" s="95" t="str">
        <f aca="false">IF(AN68&lt;&gt;1,"",IF(INDEX($L:$L,68)&lt;&gt;"",INDEX($L:$L,68),TRIM(INDEX($D:$D,68)&amp;" "&amp;INDEX($C:$C,68))))</f>
        <v/>
      </c>
      <c r="AQ68" s="43" t="str">
        <f aca="false">IF(OR(AI68="",INDEX($I:$I,68)="Yes"),"",1)</f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customFormat="false" ht="21.75" hidden="false" customHeight="true" outlineLevel="0" collapsed="false">
      <c r="A69" s="1"/>
      <c r="B69" s="113" t="str">
        <f aca="false">IF(AI69="","",COUNT($AI$7:AI69))</f>
        <v/>
      </c>
      <c r="C69" s="114"/>
      <c r="D69" s="114"/>
      <c r="E69" s="114"/>
      <c r="F69" s="114"/>
      <c r="G69" s="115"/>
      <c r="H69" s="115"/>
      <c r="I69" s="115"/>
      <c r="J69" s="115"/>
      <c r="K69" s="115"/>
      <c r="L69" s="114"/>
      <c r="M69" s="114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4"/>
      <c r="Y69" s="114"/>
      <c r="Z69" s="115"/>
      <c r="AA69" s="114"/>
      <c r="AB69" s="114"/>
      <c r="AC69" s="115"/>
      <c r="AD69" s="116"/>
      <c r="AE69" s="114"/>
      <c r="AF69" s="114"/>
      <c r="AG69" s="114"/>
      <c r="AH69" s="1"/>
      <c r="AI69" s="95" t="str">
        <f aca="false">IF(INDEX($C:$C,69)&amp;INDEX($D:$D,69)="","",1)</f>
        <v/>
      </c>
      <c r="AJ69" s="95" t="str">
        <f aca="false">IF(OR(AI69="",INDEX($Z:$Z,69)="",INDEX($U:$U,69)="Declined"),"",1)</f>
        <v/>
      </c>
      <c r="AK69" s="95" t="str">
        <f aca="false">IF(AJ69="","",INDEX($Z:$Z,69)&amp;"-"&amp;COUNTIFS($Z$7:Z69,INDEX($Z:$Z,69),$AJ$7:AJ69,1))</f>
        <v/>
      </c>
      <c r="AL69" s="43" t="str">
        <f aca="false">IF(AI69="","",TRIM(INDEX($D:$D,69)&amp;" "&amp;INDEX($C:$C,69))&amp;IF(INDEX($I:$I,69)="Yes"," (child)",""))</f>
        <v/>
      </c>
      <c r="AM69" s="95" t="str">
        <f aca="false">IF(OR(AI69="",INDEX($X:$X,69)="",INDEX($U:$U,69)="Declined"),"",COUNTIFS($X$7:X69,"?*",$U$7:U69,"&lt;&gt;Declined",$AI$7:AI69,1))</f>
        <v/>
      </c>
      <c r="AN69" s="95" t="str">
        <f aca="false">IF(AI69="","",IF(INDEX($L:$L,69)="",1,IF(COUNTIF($L$7:L69,INDEX($L:$L,69))=1,1,"")))</f>
        <v/>
      </c>
      <c r="AO69" s="95" t="str">
        <f aca="false">IF(AN69&lt;&gt;1,"",IF(INDEX($L:$L,69)="",IF(INDEX($S:$S,69)="Yes",1,""),IF(COUNTIFS($L$7:$L$506,INDEX($L:$L,69),$S$7:$S$506,"Yes")&gt;0,1,"")))</f>
        <v/>
      </c>
      <c r="AP69" s="95" t="str">
        <f aca="false">IF(AN69&lt;&gt;1,"",IF(INDEX($L:$L,69)&lt;&gt;"",INDEX($L:$L,69),TRIM(INDEX($D:$D,69)&amp;" "&amp;INDEX($C:$C,69))))</f>
        <v/>
      </c>
      <c r="AQ69" s="43" t="str">
        <f aca="false">IF(OR(AI69="",INDEX($I:$I,69)="Yes"),"",1)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customFormat="false" ht="21.75" hidden="false" customHeight="true" outlineLevel="0" collapsed="false">
      <c r="A70" s="1"/>
      <c r="B70" s="113" t="str">
        <f aca="false">IF(AI70="","",COUNT($AI$7:AI70))</f>
        <v/>
      </c>
      <c r="C70" s="114"/>
      <c r="D70" s="114"/>
      <c r="E70" s="114"/>
      <c r="F70" s="114"/>
      <c r="G70" s="115"/>
      <c r="H70" s="115"/>
      <c r="I70" s="115"/>
      <c r="J70" s="115"/>
      <c r="K70" s="115"/>
      <c r="L70" s="114"/>
      <c r="M70" s="114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4"/>
      <c r="Y70" s="114"/>
      <c r="Z70" s="115"/>
      <c r="AA70" s="114"/>
      <c r="AB70" s="114"/>
      <c r="AC70" s="115"/>
      <c r="AD70" s="116"/>
      <c r="AE70" s="114"/>
      <c r="AF70" s="114"/>
      <c r="AG70" s="114"/>
      <c r="AH70" s="1"/>
      <c r="AI70" s="95" t="str">
        <f aca="false">IF(INDEX($C:$C,70)&amp;INDEX($D:$D,70)="","",1)</f>
        <v/>
      </c>
      <c r="AJ70" s="95" t="str">
        <f aca="false">IF(OR(AI70="",INDEX($Z:$Z,70)="",INDEX($U:$U,70)="Declined"),"",1)</f>
        <v/>
      </c>
      <c r="AK70" s="95" t="str">
        <f aca="false">IF(AJ70="","",INDEX($Z:$Z,70)&amp;"-"&amp;COUNTIFS($Z$7:Z70,INDEX($Z:$Z,70),$AJ$7:AJ70,1))</f>
        <v/>
      </c>
      <c r="AL70" s="43" t="str">
        <f aca="false">IF(AI70="","",TRIM(INDEX($D:$D,70)&amp;" "&amp;INDEX($C:$C,70))&amp;IF(INDEX($I:$I,70)="Yes"," (child)",""))</f>
        <v/>
      </c>
      <c r="AM70" s="95" t="str">
        <f aca="false">IF(OR(AI70="",INDEX($X:$X,70)="",INDEX($U:$U,70)="Declined"),"",COUNTIFS($X$7:X70,"?*",$U$7:U70,"&lt;&gt;Declined",$AI$7:AI70,1))</f>
        <v/>
      </c>
      <c r="AN70" s="95" t="str">
        <f aca="false">IF(AI70="","",IF(INDEX($L:$L,70)="",1,IF(COUNTIF($L$7:L70,INDEX($L:$L,70))=1,1,"")))</f>
        <v/>
      </c>
      <c r="AO70" s="95" t="str">
        <f aca="false">IF(AN70&lt;&gt;1,"",IF(INDEX($L:$L,70)="",IF(INDEX($S:$S,70)="Yes",1,""),IF(COUNTIFS($L$7:$L$506,INDEX($L:$L,70),$S$7:$S$506,"Yes")&gt;0,1,"")))</f>
        <v/>
      </c>
      <c r="AP70" s="95" t="str">
        <f aca="false">IF(AN70&lt;&gt;1,"",IF(INDEX($L:$L,70)&lt;&gt;"",INDEX($L:$L,70),TRIM(INDEX($D:$D,70)&amp;" "&amp;INDEX($C:$C,70))))</f>
        <v/>
      </c>
      <c r="AQ70" s="43" t="str">
        <f aca="false">IF(OR(AI70="",INDEX($I:$I,70)="Yes"),"",1)</f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customFormat="false" ht="21.75" hidden="false" customHeight="true" outlineLevel="0" collapsed="false">
      <c r="A71" s="1"/>
      <c r="B71" s="113" t="str">
        <f aca="false">IF(AI71="","",COUNT($AI$7:AI71))</f>
        <v/>
      </c>
      <c r="C71" s="114"/>
      <c r="D71" s="114"/>
      <c r="E71" s="114"/>
      <c r="F71" s="114"/>
      <c r="G71" s="115"/>
      <c r="H71" s="115"/>
      <c r="I71" s="115"/>
      <c r="J71" s="115"/>
      <c r="K71" s="115"/>
      <c r="L71" s="114"/>
      <c r="M71" s="114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4"/>
      <c r="Y71" s="114"/>
      <c r="Z71" s="115"/>
      <c r="AA71" s="114"/>
      <c r="AB71" s="114"/>
      <c r="AC71" s="115"/>
      <c r="AD71" s="116"/>
      <c r="AE71" s="114"/>
      <c r="AF71" s="114"/>
      <c r="AG71" s="114"/>
      <c r="AH71" s="1"/>
      <c r="AI71" s="95" t="str">
        <f aca="false">IF(INDEX($C:$C,71)&amp;INDEX($D:$D,71)="","",1)</f>
        <v/>
      </c>
      <c r="AJ71" s="95" t="str">
        <f aca="false">IF(OR(AI71="",INDEX($Z:$Z,71)="",INDEX($U:$U,71)="Declined"),"",1)</f>
        <v/>
      </c>
      <c r="AK71" s="95" t="str">
        <f aca="false">IF(AJ71="","",INDEX($Z:$Z,71)&amp;"-"&amp;COUNTIFS($Z$7:Z71,INDEX($Z:$Z,71),$AJ$7:AJ71,1))</f>
        <v/>
      </c>
      <c r="AL71" s="43" t="str">
        <f aca="false">IF(AI71="","",TRIM(INDEX($D:$D,71)&amp;" "&amp;INDEX($C:$C,71))&amp;IF(INDEX($I:$I,71)="Yes"," (child)",""))</f>
        <v/>
      </c>
      <c r="AM71" s="95" t="str">
        <f aca="false">IF(OR(AI71="",INDEX($X:$X,71)="",INDEX($U:$U,71)="Declined"),"",COUNTIFS($X$7:X71,"?*",$U$7:U71,"&lt;&gt;Declined",$AI$7:AI71,1))</f>
        <v/>
      </c>
      <c r="AN71" s="95" t="str">
        <f aca="false">IF(AI71="","",IF(INDEX($L:$L,71)="",1,IF(COUNTIF($L$7:L71,INDEX($L:$L,71))=1,1,"")))</f>
        <v/>
      </c>
      <c r="AO71" s="95" t="str">
        <f aca="false">IF(AN71&lt;&gt;1,"",IF(INDEX($L:$L,71)="",IF(INDEX($S:$S,71)="Yes",1,""),IF(COUNTIFS($L$7:$L$506,INDEX($L:$L,71),$S$7:$S$506,"Yes")&gt;0,1,"")))</f>
        <v/>
      </c>
      <c r="AP71" s="95" t="str">
        <f aca="false">IF(AN71&lt;&gt;1,"",IF(INDEX($L:$L,71)&lt;&gt;"",INDEX($L:$L,71),TRIM(INDEX($D:$D,71)&amp;" "&amp;INDEX($C:$C,71))))</f>
        <v/>
      </c>
      <c r="AQ71" s="43" t="str">
        <f aca="false">IF(OR(AI71="",INDEX($I:$I,71)="Yes"),"",1)</f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customFormat="false" ht="21.75" hidden="false" customHeight="true" outlineLevel="0" collapsed="false">
      <c r="A72" s="1"/>
      <c r="B72" s="113" t="str">
        <f aca="false">IF(AI72="","",COUNT($AI$7:AI72))</f>
        <v/>
      </c>
      <c r="C72" s="114"/>
      <c r="D72" s="114"/>
      <c r="E72" s="114"/>
      <c r="F72" s="114"/>
      <c r="G72" s="115"/>
      <c r="H72" s="115"/>
      <c r="I72" s="115"/>
      <c r="J72" s="115"/>
      <c r="K72" s="115"/>
      <c r="L72" s="114"/>
      <c r="M72" s="114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4"/>
      <c r="Y72" s="114"/>
      <c r="Z72" s="115"/>
      <c r="AA72" s="114"/>
      <c r="AB72" s="114"/>
      <c r="AC72" s="115"/>
      <c r="AD72" s="116"/>
      <c r="AE72" s="114"/>
      <c r="AF72" s="114"/>
      <c r="AG72" s="114"/>
      <c r="AH72" s="1"/>
      <c r="AI72" s="95" t="str">
        <f aca="false">IF(INDEX($C:$C,72)&amp;INDEX($D:$D,72)="","",1)</f>
        <v/>
      </c>
      <c r="AJ72" s="95" t="str">
        <f aca="false">IF(OR(AI72="",INDEX($Z:$Z,72)="",INDEX($U:$U,72)="Declined"),"",1)</f>
        <v/>
      </c>
      <c r="AK72" s="95" t="str">
        <f aca="false">IF(AJ72="","",INDEX($Z:$Z,72)&amp;"-"&amp;COUNTIFS($Z$7:Z72,INDEX($Z:$Z,72),$AJ$7:AJ72,1))</f>
        <v/>
      </c>
      <c r="AL72" s="43" t="str">
        <f aca="false">IF(AI72="","",TRIM(INDEX($D:$D,72)&amp;" "&amp;INDEX($C:$C,72))&amp;IF(INDEX($I:$I,72)="Yes"," (child)",""))</f>
        <v/>
      </c>
      <c r="AM72" s="95" t="str">
        <f aca="false">IF(OR(AI72="",INDEX($X:$X,72)="",INDEX($U:$U,72)="Declined"),"",COUNTIFS($X$7:X72,"?*",$U$7:U72,"&lt;&gt;Declined",$AI$7:AI72,1))</f>
        <v/>
      </c>
      <c r="AN72" s="95" t="str">
        <f aca="false">IF(AI72="","",IF(INDEX($L:$L,72)="",1,IF(COUNTIF($L$7:L72,INDEX($L:$L,72))=1,1,"")))</f>
        <v/>
      </c>
      <c r="AO72" s="95" t="str">
        <f aca="false">IF(AN72&lt;&gt;1,"",IF(INDEX($L:$L,72)="",IF(INDEX($S:$S,72)="Yes",1,""),IF(COUNTIFS($L$7:$L$506,INDEX($L:$L,72),$S$7:$S$506,"Yes")&gt;0,1,"")))</f>
        <v/>
      </c>
      <c r="AP72" s="95" t="str">
        <f aca="false">IF(AN72&lt;&gt;1,"",IF(INDEX($L:$L,72)&lt;&gt;"",INDEX($L:$L,72),TRIM(INDEX($D:$D,72)&amp;" "&amp;INDEX($C:$C,72))))</f>
        <v/>
      </c>
      <c r="AQ72" s="43" t="str">
        <f aca="false">IF(OR(AI72="",INDEX($I:$I,72)="Yes"),"",1)</f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customFormat="false" ht="21.75" hidden="false" customHeight="true" outlineLevel="0" collapsed="false">
      <c r="A73" s="1"/>
      <c r="B73" s="113" t="str">
        <f aca="false">IF(AI73="","",COUNT($AI$7:AI73))</f>
        <v/>
      </c>
      <c r="C73" s="114"/>
      <c r="D73" s="114"/>
      <c r="E73" s="114"/>
      <c r="F73" s="114"/>
      <c r="G73" s="115"/>
      <c r="H73" s="115"/>
      <c r="I73" s="115"/>
      <c r="J73" s="115"/>
      <c r="K73" s="115"/>
      <c r="L73" s="114"/>
      <c r="M73" s="114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4"/>
      <c r="Y73" s="114"/>
      <c r="Z73" s="115"/>
      <c r="AA73" s="114"/>
      <c r="AB73" s="114"/>
      <c r="AC73" s="115"/>
      <c r="AD73" s="116"/>
      <c r="AE73" s="114"/>
      <c r="AF73" s="114"/>
      <c r="AG73" s="114"/>
      <c r="AH73" s="1"/>
      <c r="AI73" s="95" t="str">
        <f aca="false">IF(INDEX($C:$C,73)&amp;INDEX($D:$D,73)="","",1)</f>
        <v/>
      </c>
      <c r="AJ73" s="95" t="str">
        <f aca="false">IF(OR(AI73="",INDEX($Z:$Z,73)="",INDEX($U:$U,73)="Declined"),"",1)</f>
        <v/>
      </c>
      <c r="AK73" s="95" t="str">
        <f aca="false">IF(AJ73="","",INDEX($Z:$Z,73)&amp;"-"&amp;COUNTIFS($Z$7:Z73,INDEX($Z:$Z,73),$AJ$7:AJ73,1))</f>
        <v/>
      </c>
      <c r="AL73" s="43" t="str">
        <f aca="false">IF(AI73="","",TRIM(INDEX($D:$D,73)&amp;" "&amp;INDEX($C:$C,73))&amp;IF(INDEX($I:$I,73)="Yes"," (child)",""))</f>
        <v/>
      </c>
      <c r="AM73" s="95" t="str">
        <f aca="false">IF(OR(AI73="",INDEX($X:$X,73)="",INDEX($U:$U,73)="Declined"),"",COUNTIFS($X$7:X73,"?*",$U$7:U73,"&lt;&gt;Declined",$AI$7:AI73,1))</f>
        <v/>
      </c>
      <c r="AN73" s="95" t="str">
        <f aca="false">IF(AI73="","",IF(INDEX($L:$L,73)="",1,IF(COUNTIF($L$7:L73,INDEX($L:$L,73))=1,1,"")))</f>
        <v/>
      </c>
      <c r="AO73" s="95" t="str">
        <f aca="false">IF(AN73&lt;&gt;1,"",IF(INDEX($L:$L,73)="",IF(INDEX($S:$S,73)="Yes",1,""),IF(COUNTIFS($L$7:$L$506,INDEX($L:$L,73),$S$7:$S$506,"Yes")&gt;0,1,"")))</f>
        <v/>
      </c>
      <c r="AP73" s="95" t="str">
        <f aca="false">IF(AN73&lt;&gt;1,"",IF(INDEX($L:$L,73)&lt;&gt;"",INDEX($L:$L,73),TRIM(INDEX($D:$D,73)&amp;" "&amp;INDEX($C:$C,73))))</f>
        <v/>
      </c>
      <c r="AQ73" s="43" t="str">
        <f aca="false">IF(OR(AI73="",INDEX($I:$I,73)="Yes"),"",1)</f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customFormat="false" ht="21.75" hidden="false" customHeight="true" outlineLevel="0" collapsed="false">
      <c r="A74" s="1"/>
      <c r="B74" s="113" t="str">
        <f aca="false">IF(AI74="","",COUNT($AI$7:AI74))</f>
        <v/>
      </c>
      <c r="C74" s="114"/>
      <c r="D74" s="114"/>
      <c r="E74" s="114"/>
      <c r="F74" s="114"/>
      <c r="G74" s="115"/>
      <c r="H74" s="115"/>
      <c r="I74" s="115"/>
      <c r="J74" s="115"/>
      <c r="K74" s="115"/>
      <c r="L74" s="114"/>
      <c r="M74" s="114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4"/>
      <c r="Y74" s="114"/>
      <c r="Z74" s="115"/>
      <c r="AA74" s="114"/>
      <c r="AB74" s="114"/>
      <c r="AC74" s="115"/>
      <c r="AD74" s="116"/>
      <c r="AE74" s="114"/>
      <c r="AF74" s="114"/>
      <c r="AG74" s="114"/>
      <c r="AH74" s="1"/>
      <c r="AI74" s="95" t="str">
        <f aca="false">IF(INDEX($C:$C,74)&amp;INDEX($D:$D,74)="","",1)</f>
        <v/>
      </c>
      <c r="AJ74" s="95" t="str">
        <f aca="false">IF(OR(AI74="",INDEX($Z:$Z,74)="",INDEX($U:$U,74)="Declined"),"",1)</f>
        <v/>
      </c>
      <c r="AK74" s="95" t="str">
        <f aca="false">IF(AJ74="","",INDEX($Z:$Z,74)&amp;"-"&amp;COUNTIFS($Z$7:Z74,INDEX($Z:$Z,74),$AJ$7:AJ74,1))</f>
        <v/>
      </c>
      <c r="AL74" s="43" t="str">
        <f aca="false">IF(AI74="","",TRIM(INDEX($D:$D,74)&amp;" "&amp;INDEX($C:$C,74))&amp;IF(INDEX($I:$I,74)="Yes"," (child)",""))</f>
        <v/>
      </c>
      <c r="AM74" s="95" t="str">
        <f aca="false">IF(OR(AI74="",INDEX($X:$X,74)="",INDEX($U:$U,74)="Declined"),"",COUNTIFS($X$7:X74,"?*",$U$7:U74,"&lt;&gt;Declined",$AI$7:AI74,1))</f>
        <v/>
      </c>
      <c r="AN74" s="95" t="str">
        <f aca="false">IF(AI74="","",IF(INDEX($L:$L,74)="",1,IF(COUNTIF($L$7:L74,INDEX($L:$L,74))=1,1,"")))</f>
        <v/>
      </c>
      <c r="AO74" s="95" t="str">
        <f aca="false">IF(AN74&lt;&gt;1,"",IF(INDEX($L:$L,74)="",IF(INDEX($S:$S,74)="Yes",1,""),IF(COUNTIFS($L$7:$L$506,INDEX($L:$L,74),$S$7:$S$506,"Yes")&gt;0,1,"")))</f>
        <v/>
      </c>
      <c r="AP74" s="95" t="str">
        <f aca="false">IF(AN74&lt;&gt;1,"",IF(INDEX($L:$L,74)&lt;&gt;"",INDEX($L:$L,74),TRIM(INDEX($D:$D,74)&amp;" "&amp;INDEX($C:$C,74))))</f>
        <v/>
      </c>
      <c r="AQ74" s="43" t="str">
        <f aca="false">IF(OR(AI74="",INDEX($I:$I,74)="Yes"),"",1)</f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customFormat="false" ht="21.75" hidden="false" customHeight="true" outlineLevel="0" collapsed="false">
      <c r="A75" s="1"/>
      <c r="B75" s="113" t="str">
        <f aca="false">IF(AI75="","",COUNT($AI$7:AI75))</f>
        <v/>
      </c>
      <c r="C75" s="114"/>
      <c r="D75" s="114"/>
      <c r="E75" s="114"/>
      <c r="F75" s="114"/>
      <c r="G75" s="115"/>
      <c r="H75" s="115"/>
      <c r="I75" s="115"/>
      <c r="J75" s="115"/>
      <c r="K75" s="115"/>
      <c r="L75" s="114"/>
      <c r="M75" s="114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4"/>
      <c r="Y75" s="114"/>
      <c r="Z75" s="115"/>
      <c r="AA75" s="114"/>
      <c r="AB75" s="114"/>
      <c r="AC75" s="115"/>
      <c r="AD75" s="116"/>
      <c r="AE75" s="114"/>
      <c r="AF75" s="114"/>
      <c r="AG75" s="114"/>
      <c r="AH75" s="1"/>
      <c r="AI75" s="95" t="str">
        <f aca="false">IF(INDEX($C:$C,75)&amp;INDEX($D:$D,75)="","",1)</f>
        <v/>
      </c>
      <c r="AJ75" s="95" t="str">
        <f aca="false">IF(OR(AI75="",INDEX($Z:$Z,75)="",INDEX($U:$U,75)="Declined"),"",1)</f>
        <v/>
      </c>
      <c r="AK75" s="95" t="str">
        <f aca="false">IF(AJ75="","",INDEX($Z:$Z,75)&amp;"-"&amp;COUNTIFS($Z$7:Z75,INDEX($Z:$Z,75),$AJ$7:AJ75,1))</f>
        <v/>
      </c>
      <c r="AL75" s="43" t="str">
        <f aca="false">IF(AI75="","",TRIM(INDEX($D:$D,75)&amp;" "&amp;INDEX($C:$C,75))&amp;IF(INDEX($I:$I,75)="Yes"," (child)",""))</f>
        <v/>
      </c>
      <c r="AM75" s="95" t="str">
        <f aca="false">IF(OR(AI75="",INDEX($X:$X,75)="",INDEX($U:$U,75)="Declined"),"",COUNTIFS($X$7:X75,"?*",$U$7:U75,"&lt;&gt;Declined",$AI$7:AI75,1))</f>
        <v/>
      </c>
      <c r="AN75" s="95" t="str">
        <f aca="false">IF(AI75="","",IF(INDEX($L:$L,75)="",1,IF(COUNTIF($L$7:L75,INDEX($L:$L,75))=1,1,"")))</f>
        <v/>
      </c>
      <c r="AO75" s="95" t="str">
        <f aca="false">IF(AN75&lt;&gt;1,"",IF(INDEX($L:$L,75)="",IF(INDEX($S:$S,75)="Yes",1,""),IF(COUNTIFS($L$7:$L$506,INDEX($L:$L,75),$S$7:$S$506,"Yes")&gt;0,1,"")))</f>
        <v/>
      </c>
      <c r="AP75" s="95" t="str">
        <f aca="false">IF(AN75&lt;&gt;1,"",IF(INDEX($L:$L,75)&lt;&gt;"",INDEX($L:$L,75),TRIM(INDEX($D:$D,75)&amp;" "&amp;INDEX($C:$C,75))))</f>
        <v/>
      </c>
      <c r="AQ75" s="43" t="str">
        <f aca="false">IF(OR(AI75="",INDEX($I:$I,75)="Yes"),"",1)</f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customFormat="false" ht="21.75" hidden="false" customHeight="true" outlineLevel="0" collapsed="false">
      <c r="A76" s="1"/>
      <c r="B76" s="113" t="str">
        <f aca="false">IF(AI76="","",COUNT($AI$7:AI76))</f>
        <v/>
      </c>
      <c r="C76" s="114"/>
      <c r="D76" s="114"/>
      <c r="E76" s="114"/>
      <c r="F76" s="114"/>
      <c r="G76" s="115"/>
      <c r="H76" s="115"/>
      <c r="I76" s="115"/>
      <c r="J76" s="115"/>
      <c r="K76" s="115"/>
      <c r="L76" s="114"/>
      <c r="M76" s="114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4"/>
      <c r="Y76" s="114"/>
      <c r="Z76" s="115"/>
      <c r="AA76" s="114"/>
      <c r="AB76" s="114"/>
      <c r="AC76" s="115"/>
      <c r="AD76" s="116"/>
      <c r="AE76" s="114"/>
      <c r="AF76" s="114"/>
      <c r="AG76" s="114"/>
      <c r="AH76" s="1"/>
      <c r="AI76" s="95" t="str">
        <f aca="false">IF(INDEX($C:$C,76)&amp;INDEX($D:$D,76)="","",1)</f>
        <v/>
      </c>
      <c r="AJ76" s="95" t="str">
        <f aca="false">IF(OR(AI76="",INDEX($Z:$Z,76)="",INDEX($U:$U,76)="Declined"),"",1)</f>
        <v/>
      </c>
      <c r="AK76" s="95" t="str">
        <f aca="false">IF(AJ76="","",INDEX($Z:$Z,76)&amp;"-"&amp;COUNTIFS($Z$7:Z76,INDEX($Z:$Z,76),$AJ$7:AJ76,1))</f>
        <v/>
      </c>
      <c r="AL76" s="43" t="str">
        <f aca="false">IF(AI76="","",TRIM(INDEX($D:$D,76)&amp;" "&amp;INDEX($C:$C,76))&amp;IF(INDEX($I:$I,76)="Yes"," (child)",""))</f>
        <v/>
      </c>
      <c r="AM76" s="95" t="str">
        <f aca="false">IF(OR(AI76="",INDEX($X:$X,76)="",INDEX($U:$U,76)="Declined"),"",COUNTIFS($X$7:X76,"?*",$U$7:U76,"&lt;&gt;Declined",$AI$7:AI76,1))</f>
        <v/>
      </c>
      <c r="AN76" s="95" t="str">
        <f aca="false">IF(AI76="","",IF(INDEX($L:$L,76)="",1,IF(COUNTIF($L$7:L76,INDEX($L:$L,76))=1,1,"")))</f>
        <v/>
      </c>
      <c r="AO76" s="95" t="str">
        <f aca="false">IF(AN76&lt;&gt;1,"",IF(INDEX($L:$L,76)="",IF(INDEX($S:$S,76)="Yes",1,""),IF(COUNTIFS($L$7:$L$506,INDEX($L:$L,76),$S$7:$S$506,"Yes")&gt;0,1,"")))</f>
        <v/>
      </c>
      <c r="AP76" s="95" t="str">
        <f aca="false">IF(AN76&lt;&gt;1,"",IF(INDEX($L:$L,76)&lt;&gt;"",INDEX($L:$L,76),TRIM(INDEX($D:$D,76)&amp;" "&amp;INDEX($C:$C,76))))</f>
        <v/>
      </c>
      <c r="AQ76" s="43" t="str">
        <f aca="false">IF(OR(AI76="",INDEX($I:$I,76)="Yes"),"",1)</f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customFormat="false" ht="21.75" hidden="false" customHeight="true" outlineLevel="0" collapsed="false">
      <c r="A77" s="1"/>
      <c r="B77" s="113" t="str">
        <f aca="false">IF(AI77="","",COUNT($AI$7:AI77))</f>
        <v/>
      </c>
      <c r="C77" s="114"/>
      <c r="D77" s="114"/>
      <c r="E77" s="114"/>
      <c r="F77" s="114"/>
      <c r="G77" s="115"/>
      <c r="H77" s="115"/>
      <c r="I77" s="115"/>
      <c r="J77" s="115"/>
      <c r="K77" s="115"/>
      <c r="L77" s="114"/>
      <c r="M77" s="114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4"/>
      <c r="Y77" s="114"/>
      <c r="Z77" s="115"/>
      <c r="AA77" s="114"/>
      <c r="AB77" s="114"/>
      <c r="AC77" s="115"/>
      <c r="AD77" s="116"/>
      <c r="AE77" s="114"/>
      <c r="AF77" s="114"/>
      <c r="AG77" s="114"/>
      <c r="AH77" s="1"/>
      <c r="AI77" s="95" t="str">
        <f aca="false">IF(INDEX($C:$C,77)&amp;INDEX($D:$D,77)="","",1)</f>
        <v/>
      </c>
      <c r="AJ77" s="95" t="str">
        <f aca="false">IF(OR(AI77="",INDEX($Z:$Z,77)="",INDEX($U:$U,77)="Declined"),"",1)</f>
        <v/>
      </c>
      <c r="AK77" s="95" t="str">
        <f aca="false">IF(AJ77="","",INDEX($Z:$Z,77)&amp;"-"&amp;COUNTIFS($Z$7:Z77,INDEX($Z:$Z,77),$AJ$7:AJ77,1))</f>
        <v/>
      </c>
      <c r="AL77" s="43" t="str">
        <f aca="false">IF(AI77="","",TRIM(INDEX($D:$D,77)&amp;" "&amp;INDEX($C:$C,77))&amp;IF(INDEX($I:$I,77)="Yes"," (child)",""))</f>
        <v/>
      </c>
      <c r="AM77" s="95" t="str">
        <f aca="false">IF(OR(AI77="",INDEX($X:$X,77)="",INDEX($U:$U,77)="Declined"),"",COUNTIFS($X$7:X77,"?*",$U$7:U77,"&lt;&gt;Declined",$AI$7:AI77,1))</f>
        <v/>
      </c>
      <c r="AN77" s="95" t="str">
        <f aca="false">IF(AI77="","",IF(INDEX($L:$L,77)="",1,IF(COUNTIF($L$7:L77,INDEX($L:$L,77))=1,1,"")))</f>
        <v/>
      </c>
      <c r="AO77" s="95" t="str">
        <f aca="false">IF(AN77&lt;&gt;1,"",IF(INDEX($L:$L,77)="",IF(INDEX($S:$S,77)="Yes",1,""),IF(COUNTIFS($L$7:$L$506,INDEX($L:$L,77),$S$7:$S$506,"Yes")&gt;0,1,"")))</f>
        <v/>
      </c>
      <c r="AP77" s="95" t="str">
        <f aca="false">IF(AN77&lt;&gt;1,"",IF(INDEX($L:$L,77)&lt;&gt;"",INDEX($L:$L,77),TRIM(INDEX($D:$D,77)&amp;" "&amp;INDEX($C:$C,77))))</f>
        <v/>
      </c>
      <c r="AQ77" s="43" t="str">
        <f aca="false">IF(OR(AI77="",INDEX($I:$I,77)="Yes"),"",1)</f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customFormat="false" ht="21.75" hidden="false" customHeight="true" outlineLevel="0" collapsed="false">
      <c r="A78" s="1"/>
      <c r="B78" s="113" t="str">
        <f aca="false">IF(AI78="","",COUNT($AI$7:AI78))</f>
        <v/>
      </c>
      <c r="C78" s="114"/>
      <c r="D78" s="114"/>
      <c r="E78" s="114"/>
      <c r="F78" s="114"/>
      <c r="G78" s="115"/>
      <c r="H78" s="115"/>
      <c r="I78" s="115"/>
      <c r="J78" s="115"/>
      <c r="K78" s="115"/>
      <c r="L78" s="114"/>
      <c r="M78" s="114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4"/>
      <c r="Y78" s="114"/>
      <c r="Z78" s="115"/>
      <c r="AA78" s="114"/>
      <c r="AB78" s="114"/>
      <c r="AC78" s="115"/>
      <c r="AD78" s="116"/>
      <c r="AE78" s="114"/>
      <c r="AF78" s="114"/>
      <c r="AG78" s="114"/>
      <c r="AH78" s="1"/>
      <c r="AI78" s="95" t="str">
        <f aca="false">IF(INDEX($C:$C,78)&amp;INDEX($D:$D,78)="","",1)</f>
        <v/>
      </c>
      <c r="AJ78" s="95" t="str">
        <f aca="false">IF(OR(AI78="",INDEX($Z:$Z,78)="",INDEX($U:$U,78)="Declined"),"",1)</f>
        <v/>
      </c>
      <c r="AK78" s="95" t="str">
        <f aca="false">IF(AJ78="","",INDEX($Z:$Z,78)&amp;"-"&amp;COUNTIFS($Z$7:Z78,INDEX($Z:$Z,78),$AJ$7:AJ78,1))</f>
        <v/>
      </c>
      <c r="AL78" s="43" t="str">
        <f aca="false">IF(AI78="","",TRIM(INDEX($D:$D,78)&amp;" "&amp;INDEX($C:$C,78))&amp;IF(INDEX($I:$I,78)="Yes"," (child)",""))</f>
        <v/>
      </c>
      <c r="AM78" s="95" t="str">
        <f aca="false">IF(OR(AI78="",INDEX($X:$X,78)="",INDEX($U:$U,78)="Declined"),"",COUNTIFS($X$7:X78,"?*",$U$7:U78,"&lt;&gt;Declined",$AI$7:AI78,1))</f>
        <v/>
      </c>
      <c r="AN78" s="95" t="str">
        <f aca="false">IF(AI78="","",IF(INDEX($L:$L,78)="",1,IF(COUNTIF($L$7:L78,INDEX($L:$L,78))=1,1,"")))</f>
        <v/>
      </c>
      <c r="AO78" s="95" t="str">
        <f aca="false">IF(AN78&lt;&gt;1,"",IF(INDEX($L:$L,78)="",IF(INDEX($S:$S,78)="Yes",1,""),IF(COUNTIFS($L$7:$L$506,INDEX($L:$L,78),$S$7:$S$506,"Yes")&gt;0,1,"")))</f>
        <v/>
      </c>
      <c r="AP78" s="95" t="str">
        <f aca="false">IF(AN78&lt;&gt;1,"",IF(INDEX($L:$L,78)&lt;&gt;"",INDEX($L:$L,78),TRIM(INDEX($D:$D,78)&amp;" "&amp;INDEX($C:$C,78))))</f>
        <v/>
      </c>
      <c r="AQ78" s="43" t="str">
        <f aca="false">IF(OR(AI78="",INDEX($I:$I,78)="Yes"),"",1)</f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customFormat="false" ht="21.75" hidden="false" customHeight="true" outlineLevel="0" collapsed="false">
      <c r="A79" s="1"/>
      <c r="B79" s="113" t="str">
        <f aca="false">IF(AI79="","",COUNT($AI$7:AI79))</f>
        <v/>
      </c>
      <c r="C79" s="114"/>
      <c r="D79" s="114"/>
      <c r="E79" s="114"/>
      <c r="F79" s="114"/>
      <c r="G79" s="115"/>
      <c r="H79" s="115"/>
      <c r="I79" s="115"/>
      <c r="J79" s="115"/>
      <c r="K79" s="115"/>
      <c r="L79" s="114"/>
      <c r="M79" s="114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4"/>
      <c r="Y79" s="114"/>
      <c r="Z79" s="115"/>
      <c r="AA79" s="114"/>
      <c r="AB79" s="114"/>
      <c r="AC79" s="115"/>
      <c r="AD79" s="116"/>
      <c r="AE79" s="114"/>
      <c r="AF79" s="114"/>
      <c r="AG79" s="114"/>
      <c r="AH79" s="1"/>
      <c r="AI79" s="95" t="str">
        <f aca="false">IF(INDEX($C:$C,79)&amp;INDEX($D:$D,79)="","",1)</f>
        <v/>
      </c>
      <c r="AJ79" s="95" t="str">
        <f aca="false">IF(OR(AI79="",INDEX($Z:$Z,79)="",INDEX($U:$U,79)="Declined"),"",1)</f>
        <v/>
      </c>
      <c r="AK79" s="95" t="str">
        <f aca="false">IF(AJ79="","",INDEX($Z:$Z,79)&amp;"-"&amp;COUNTIFS($Z$7:Z79,INDEX($Z:$Z,79),$AJ$7:AJ79,1))</f>
        <v/>
      </c>
      <c r="AL79" s="43" t="str">
        <f aca="false">IF(AI79="","",TRIM(INDEX($D:$D,79)&amp;" "&amp;INDEX($C:$C,79))&amp;IF(INDEX($I:$I,79)="Yes"," (child)",""))</f>
        <v/>
      </c>
      <c r="AM79" s="95" t="str">
        <f aca="false">IF(OR(AI79="",INDEX($X:$X,79)="",INDEX($U:$U,79)="Declined"),"",COUNTIFS($X$7:X79,"?*",$U$7:U79,"&lt;&gt;Declined",$AI$7:AI79,1))</f>
        <v/>
      </c>
      <c r="AN79" s="95" t="str">
        <f aca="false">IF(AI79="","",IF(INDEX($L:$L,79)="",1,IF(COUNTIF($L$7:L79,INDEX($L:$L,79))=1,1,"")))</f>
        <v/>
      </c>
      <c r="AO79" s="95" t="str">
        <f aca="false">IF(AN79&lt;&gt;1,"",IF(INDEX($L:$L,79)="",IF(INDEX($S:$S,79)="Yes",1,""),IF(COUNTIFS($L$7:$L$506,INDEX($L:$L,79),$S$7:$S$506,"Yes")&gt;0,1,"")))</f>
        <v/>
      </c>
      <c r="AP79" s="95" t="str">
        <f aca="false">IF(AN79&lt;&gt;1,"",IF(INDEX($L:$L,79)&lt;&gt;"",INDEX($L:$L,79),TRIM(INDEX($D:$D,79)&amp;" "&amp;INDEX($C:$C,79))))</f>
        <v/>
      </c>
      <c r="AQ79" s="43" t="str">
        <f aca="false">IF(OR(AI79="",INDEX($I:$I,79)="Yes"),"",1)</f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customFormat="false" ht="21.75" hidden="false" customHeight="true" outlineLevel="0" collapsed="false">
      <c r="A80" s="1"/>
      <c r="B80" s="113" t="str">
        <f aca="false">IF(AI80="","",COUNT($AI$7:AI80))</f>
        <v/>
      </c>
      <c r="C80" s="114"/>
      <c r="D80" s="114"/>
      <c r="E80" s="114"/>
      <c r="F80" s="114"/>
      <c r="G80" s="115"/>
      <c r="H80" s="115"/>
      <c r="I80" s="115"/>
      <c r="J80" s="115"/>
      <c r="K80" s="115"/>
      <c r="L80" s="114"/>
      <c r="M80" s="114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4"/>
      <c r="Y80" s="114"/>
      <c r="Z80" s="115"/>
      <c r="AA80" s="114"/>
      <c r="AB80" s="114"/>
      <c r="AC80" s="115"/>
      <c r="AD80" s="116"/>
      <c r="AE80" s="114"/>
      <c r="AF80" s="114"/>
      <c r="AG80" s="114"/>
      <c r="AH80" s="1"/>
      <c r="AI80" s="95" t="str">
        <f aca="false">IF(INDEX($C:$C,80)&amp;INDEX($D:$D,80)="","",1)</f>
        <v/>
      </c>
      <c r="AJ80" s="95" t="str">
        <f aca="false">IF(OR(AI80="",INDEX($Z:$Z,80)="",INDEX($U:$U,80)="Declined"),"",1)</f>
        <v/>
      </c>
      <c r="AK80" s="95" t="str">
        <f aca="false">IF(AJ80="","",INDEX($Z:$Z,80)&amp;"-"&amp;COUNTIFS($Z$7:Z80,INDEX($Z:$Z,80),$AJ$7:AJ80,1))</f>
        <v/>
      </c>
      <c r="AL80" s="43" t="str">
        <f aca="false">IF(AI80="","",TRIM(INDEX($D:$D,80)&amp;" "&amp;INDEX($C:$C,80))&amp;IF(INDEX($I:$I,80)="Yes"," (child)",""))</f>
        <v/>
      </c>
      <c r="AM80" s="95" t="str">
        <f aca="false">IF(OR(AI80="",INDEX($X:$X,80)="",INDEX($U:$U,80)="Declined"),"",COUNTIFS($X$7:X80,"?*",$U$7:U80,"&lt;&gt;Declined",$AI$7:AI80,1))</f>
        <v/>
      </c>
      <c r="AN80" s="95" t="str">
        <f aca="false">IF(AI80="","",IF(INDEX($L:$L,80)="",1,IF(COUNTIF($L$7:L80,INDEX($L:$L,80))=1,1,"")))</f>
        <v/>
      </c>
      <c r="AO80" s="95" t="str">
        <f aca="false">IF(AN80&lt;&gt;1,"",IF(INDEX($L:$L,80)="",IF(INDEX($S:$S,80)="Yes",1,""),IF(COUNTIFS($L$7:$L$506,INDEX($L:$L,80),$S$7:$S$506,"Yes")&gt;0,1,"")))</f>
        <v/>
      </c>
      <c r="AP80" s="95" t="str">
        <f aca="false">IF(AN80&lt;&gt;1,"",IF(INDEX($L:$L,80)&lt;&gt;"",INDEX($L:$L,80),TRIM(INDEX($D:$D,80)&amp;" "&amp;INDEX($C:$C,80))))</f>
        <v/>
      </c>
      <c r="AQ80" s="43" t="str">
        <f aca="false">IF(OR(AI80="",INDEX($I:$I,80)="Yes"),"",1)</f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customFormat="false" ht="21.75" hidden="false" customHeight="true" outlineLevel="0" collapsed="false">
      <c r="A81" s="1"/>
      <c r="B81" s="113" t="str">
        <f aca="false">IF(AI81="","",COUNT($AI$7:AI81))</f>
        <v/>
      </c>
      <c r="C81" s="114"/>
      <c r="D81" s="114"/>
      <c r="E81" s="114"/>
      <c r="F81" s="114"/>
      <c r="G81" s="115"/>
      <c r="H81" s="115"/>
      <c r="I81" s="115"/>
      <c r="J81" s="115"/>
      <c r="K81" s="115"/>
      <c r="L81" s="114"/>
      <c r="M81" s="114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4"/>
      <c r="Y81" s="114"/>
      <c r="Z81" s="115"/>
      <c r="AA81" s="114"/>
      <c r="AB81" s="114"/>
      <c r="AC81" s="115"/>
      <c r="AD81" s="116"/>
      <c r="AE81" s="114"/>
      <c r="AF81" s="114"/>
      <c r="AG81" s="114"/>
      <c r="AH81" s="1"/>
      <c r="AI81" s="95" t="str">
        <f aca="false">IF(INDEX($C:$C,81)&amp;INDEX($D:$D,81)="","",1)</f>
        <v/>
      </c>
      <c r="AJ81" s="95" t="str">
        <f aca="false">IF(OR(AI81="",INDEX($Z:$Z,81)="",INDEX($U:$U,81)="Declined"),"",1)</f>
        <v/>
      </c>
      <c r="AK81" s="95" t="str">
        <f aca="false">IF(AJ81="","",INDEX($Z:$Z,81)&amp;"-"&amp;COUNTIFS($Z$7:Z81,INDEX($Z:$Z,81),$AJ$7:AJ81,1))</f>
        <v/>
      </c>
      <c r="AL81" s="43" t="str">
        <f aca="false">IF(AI81="","",TRIM(INDEX($D:$D,81)&amp;" "&amp;INDEX($C:$C,81))&amp;IF(INDEX($I:$I,81)="Yes"," (child)",""))</f>
        <v/>
      </c>
      <c r="AM81" s="95" t="str">
        <f aca="false">IF(OR(AI81="",INDEX($X:$X,81)="",INDEX($U:$U,81)="Declined"),"",COUNTIFS($X$7:X81,"?*",$U$7:U81,"&lt;&gt;Declined",$AI$7:AI81,1))</f>
        <v/>
      </c>
      <c r="AN81" s="95" t="str">
        <f aca="false">IF(AI81="","",IF(INDEX($L:$L,81)="",1,IF(COUNTIF($L$7:L81,INDEX($L:$L,81))=1,1,"")))</f>
        <v/>
      </c>
      <c r="AO81" s="95" t="str">
        <f aca="false">IF(AN81&lt;&gt;1,"",IF(INDEX($L:$L,81)="",IF(INDEX($S:$S,81)="Yes",1,""),IF(COUNTIFS($L$7:$L$506,INDEX($L:$L,81),$S$7:$S$506,"Yes")&gt;0,1,"")))</f>
        <v/>
      </c>
      <c r="AP81" s="95" t="str">
        <f aca="false">IF(AN81&lt;&gt;1,"",IF(INDEX($L:$L,81)&lt;&gt;"",INDEX($L:$L,81),TRIM(INDEX($D:$D,81)&amp;" "&amp;INDEX($C:$C,81))))</f>
        <v/>
      </c>
      <c r="AQ81" s="43" t="str">
        <f aca="false">IF(OR(AI81="",INDEX($I:$I,81)="Yes"),"",1)</f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customFormat="false" ht="21.75" hidden="false" customHeight="true" outlineLevel="0" collapsed="false">
      <c r="A82" s="1"/>
      <c r="B82" s="113" t="str">
        <f aca="false">IF(AI82="","",COUNT($AI$7:AI82))</f>
        <v/>
      </c>
      <c r="C82" s="114"/>
      <c r="D82" s="114"/>
      <c r="E82" s="114"/>
      <c r="F82" s="114"/>
      <c r="G82" s="115"/>
      <c r="H82" s="115"/>
      <c r="I82" s="115"/>
      <c r="J82" s="115"/>
      <c r="K82" s="115"/>
      <c r="L82" s="114"/>
      <c r="M82" s="114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4"/>
      <c r="Y82" s="114"/>
      <c r="Z82" s="115"/>
      <c r="AA82" s="114"/>
      <c r="AB82" s="114"/>
      <c r="AC82" s="115"/>
      <c r="AD82" s="116"/>
      <c r="AE82" s="114"/>
      <c r="AF82" s="114"/>
      <c r="AG82" s="114"/>
      <c r="AH82" s="1"/>
      <c r="AI82" s="95" t="str">
        <f aca="false">IF(INDEX($C:$C,82)&amp;INDEX($D:$D,82)="","",1)</f>
        <v/>
      </c>
      <c r="AJ82" s="95" t="str">
        <f aca="false">IF(OR(AI82="",INDEX($Z:$Z,82)="",INDEX($U:$U,82)="Declined"),"",1)</f>
        <v/>
      </c>
      <c r="AK82" s="95" t="str">
        <f aca="false">IF(AJ82="","",INDEX($Z:$Z,82)&amp;"-"&amp;COUNTIFS($Z$7:Z82,INDEX($Z:$Z,82),$AJ$7:AJ82,1))</f>
        <v/>
      </c>
      <c r="AL82" s="43" t="str">
        <f aca="false">IF(AI82="","",TRIM(INDEX($D:$D,82)&amp;" "&amp;INDEX($C:$C,82))&amp;IF(INDEX($I:$I,82)="Yes"," (child)",""))</f>
        <v/>
      </c>
      <c r="AM82" s="95" t="str">
        <f aca="false">IF(OR(AI82="",INDEX($X:$X,82)="",INDEX($U:$U,82)="Declined"),"",COUNTIFS($X$7:X82,"?*",$U$7:U82,"&lt;&gt;Declined",$AI$7:AI82,1))</f>
        <v/>
      </c>
      <c r="AN82" s="95" t="str">
        <f aca="false">IF(AI82="","",IF(INDEX($L:$L,82)="",1,IF(COUNTIF($L$7:L82,INDEX($L:$L,82))=1,1,"")))</f>
        <v/>
      </c>
      <c r="AO82" s="95" t="str">
        <f aca="false">IF(AN82&lt;&gt;1,"",IF(INDEX($L:$L,82)="",IF(INDEX($S:$S,82)="Yes",1,""),IF(COUNTIFS($L$7:$L$506,INDEX($L:$L,82),$S$7:$S$506,"Yes")&gt;0,1,"")))</f>
        <v/>
      </c>
      <c r="AP82" s="95" t="str">
        <f aca="false">IF(AN82&lt;&gt;1,"",IF(INDEX($L:$L,82)&lt;&gt;"",INDEX($L:$L,82),TRIM(INDEX($D:$D,82)&amp;" "&amp;INDEX($C:$C,82))))</f>
        <v/>
      </c>
      <c r="AQ82" s="43" t="str">
        <f aca="false">IF(OR(AI82="",INDEX($I:$I,82)="Yes"),"",1)</f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customFormat="false" ht="21.75" hidden="false" customHeight="true" outlineLevel="0" collapsed="false">
      <c r="A83" s="1"/>
      <c r="B83" s="113" t="str">
        <f aca="false">IF(AI83="","",COUNT($AI$7:AI83))</f>
        <v/>
      </c>
      <c r="C83" s="114"/>
      <c r="D83" s="114"/>
      <c r="E83" s="114"/>
      <c r="F83" s="114"/>
      <c r="G83" s="115"/>
      <c r="H83" s="115"/>
      <c r="I83" s="115"/>
      <c r="J83" s="115"/>
      <c r="K83" s="115"/>
      <c r="L83" s="114"/>
      <c r="M83" s="114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4"/>
      <c r="Y83" s="114"/>
      <c r="Z83" s="115"/>
      <c r="AA83" s="114"/>
      <c r="AB83" s="114"/>
      <c r="AC83" s="115"/>
      <c r="AD83" s="116"/>
      <c r="AE83" s="114"/>
      <c r="AF83" s="114"/>
      <c r="AG83" s="114"/>
      <c r="AH83" s="1"/>
      <c r="AI83" s="95" t="str">
        <f aca="false">IF(INDEX($C:$C,83)&amp;INDEX($D:$D,83)="","",1)</f>
        <v/>
      </c>
      <c r="AJ83" s="95" t="str">
        <f aca="false">IF(OR(AI83="",INDEX($Z:$Z,83)="",INDEX($U:$U,83)="Declined"),"",1)</f>
        <v/>
      </c>
      <c r="AK83" s="95" t="str">
        <f aca="false">IF(AJ83="","",INDEX($Z:$Z,83)&amp;"-"&amp;COUNTIFS($Z$7:Z83,INDEX($Z:$Z,83),$AJ$7:AJ83,1))</f>
        <v/>
      </c>
      <c r="AL83" s="43" t="str">
        <f aca="false">IF(AI83="","",TRIM(INDEX($D:$D,83)&amp;" "&amp;INDEX($C:$C,83))&amp;IF(INDEX($I:$I,83)="Yes"," (child)",""))</f>
        <v/>
      </c>
      <c r="AM83" s="95" t="str">
        <f aca="false">IF(OR(AI83="",INDEX($X:$X,83)="",INDEX($U:$U,83)="Declined"),"",COUNTIFS($X$7:X83,"?*",$U$7:U83,"&lt;&gt;Declined",$AI$7:AI83,1))</f>
        <v/>
      </c>
      <c r="AN83" s="95" t="str">
        <f aca="false">IF(AI83="","",IF(INDEX($L:$L,83)="",1,IF(COUNTIF($L$7:L83,INDEX($L:$L,83))=1,1,"")))</f>
        <v/>
      </c>
      <c r="AO83" s="95" t="str">
        <f aca="false">IF(AN83&lt;&gt;1,"",IF(INDEX($L:$L,83)="",IF(INDEX($S:$S,83)="Yes",1,""),IF(COUNTIFS($L$7:$L$506,INDEX($L:$L,83),$S$7:$S$506,"Yes")&gt;0,1,"")))</f>
        <v/>
      </c>
      <c r="AP83" s="95" t="str">
        <f aca="false">IF(AN83&lt;&gt;1,"",IF(INDEX($L:$L,83)&lt;&gt;"",INDEX($L:$L,83),TRIM(INDEX($D:$D,83)&amp;" "&amp;INDEX($C:$C,83))))</f>
        <v/>
      </c>
      <c r="AQ83" s="43" t="str">
        <f aca="false">IF(OR(AI83="",INDEX($I:$I,83)="Yes"),"",1)</f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customFormat="false" ht="21.75" hidden="false" customHeight="true" outlineLevel="0" collapsed="false">
      <c r="A84" s="1"/>
      <c r="B84" s="113" t="str">
        <f aca="false">IF(AI84="","",COUNT($AI$7:AI84))</f>
        <v/>
      </c>
      <c r="C84" s="114"/>
      <c r="D84" s="114"/>
      <c r="E84" s="114"/>
      <c r="F84" s="114"/>
      <c r="G84" s="115"/>
      <c r="H84" s="115"/>
      <c r="I84" s="115"/>
      <c r="J84" s="115"/>
      <c r="K84" s="115"/>
      <c r="L84" s="114"/>
      <c r="M84" s="114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4"/>
      <c r="Y84" s="114"/>
      <c r="Z84" s="115"/>
      <c r="AA84" s="114"/>
      <c r="AB84" s="114"/>
      <c r="AC84" s="115"/>
      <c r="AD84" s="116"/>
      <c r="AE84" s="114"/>
      <c r="AF84" s="114"/>
      <c r="AG84" s="114"/>
      <c r="AH84" s="1"/>
      <c r="AI84" s="95" t="str">
        <f aca="false">IF(INDEX($C:$C,84)&amp;INDEX($D:$D,84)="","",1)</f>
        <v/>
      </c>
      <c r="AJ84" s="95" t="str">
        <f aca="false">IF(OR(AI84="",INDEX($Z:$Z,84)="",INDEX($U:$U,84)="Declined"),"",1)</f>
        <v/>
      </c>
      <c r="AK84" s="95" t="str">
        <f aca="false">IF(AJ84="","",INDEX($Z:$Z,84)&amp;"-"&amp;COUNTIFS($Z$7:Z84,INDEX($Z:$Z,84),$AJ$7:AJ84,1))</f>
        <v/>
      </c>
      <c r="AL84" s="43" t="str">
        <f aca="false">IF(AI84="","",TRIM(INDEX($D:$D,84)&amp;" "&amp;INDEX($C:$C,84))&amp;IF(INDEX($I:$I,84)="Yes"," (child)",""))</f>
        <v/>
      </c>
      <c r="AM84" s="95" t="str">
        <f aca="false">IF(OR(AI84="",INDEX($X:$X,84)="",INDEX($U:$U,84)="Declined"),"",COUNTIFS($X$7:X84,"?*",$U$7:U84,"&lt;&gt;Declined",$AI$7:AI84,1))</f>
        <v/>
      </c>
      <c r="AN84" s="95" t="str">
        <f aca="false">IF(AI84="","",IF(INDEX($L:$L,84)="",1,IF(COUNTIF($L$7:L84,INDEX($L:$L,84))=1,1,"")))</f>
        <v/>
      </c>
      <c r="AO84" s="95" t="str">
        <f aca="false">IF(AN84&lt;&gt;1,"",IF(INDEX($L:$L,84)="",IF(INDEX($S:$S,84)="Yes",1,""),IF(COUNTIFS($L$7:$L$506,INDEX($L:$L,84),$S$7:$S$506,"Yes")&gt;0,1,"")))</f>
        <v/>
      </c>
      <c r="AP84" s="95" t="str">
        <f aca="false">IF(AN84&lt;&gt;1,"",IF(INDEX($L:$L,84)&lt;&gt;"",INDEX($L:$L,84),TRIM(INDEX($D:$D,84)&amp;" "&amp;INDEX($C:$C,84))))</f>
        <v/>
      </c>
      <c r="AQ84" s="43" t="str">
        <f aca="false">IF(OR(AI84="",INDEX($I:$I,84)="Yes"),"",1)</f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customFormat="false" ht="21.75" hidden="false" customHeight="true" outlineLevel="0" collapsed="false">
      <c r="A85" s="1"/>
      <c r="B85" s="113" t="str">
        <f aca="false">IF(AI85="","",COUNT($AI$7:AI85))</f>
        <v/>
      </c>
      <c r="C85" s="114"/>
      <c r="D85" s="114"/>
      <c r="E85" s="114"/>
      <c r="F85" s="114"/>
      <c r="G85" s="115"/>
      <c r="H85" s="115"/>
      <c r="I85" s="115"/>
      <c r="J85" s="115"/>
      <c r="K85" s="115"/>
      <c r="L85" s="114"/>
      <c r="M85" s="114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4"/>
      <c r="Y85" s="114"/>
      <c r="Z85" s="115"/>
      <c r="AA85" s="114"/>
      <c r="AB85" s="114"/>
      <c r="AC85" s="115"/>
      <c r="AD85" s="116"/>
      <c r="AE85" s="114"/>
      <c r="AF85" s="114"/>
      <c r="AG85" s="114"/>
      <c r="AH85" s="1"/>
      <c r="AI85" s="95" t="str">
        <f aca="false">IF(INDEX($C:$C,85)&amp;INDEX($D:$D,85)="","",1)</f>
        <v/>
      </c>
      <c r="AJ85" s="95" t="str">
        <f aca="false">IF(OR(AI85="",INDEX($Z:$Z,85)="",INDEX($U:$U,85)="Declined"),"",1)</f>
        <v/>
      </c>
      <c r="AK85" s="95" t="str">
        <f aca="false">IF(AJ85="","",INDEX($Z:$Z,85)&amp;"-"&amp;COUNTIFS($Z$7:Z85,INDEX($Z:$Z,85),$AJ$7:AJ85,1))</f>
        <v/>
      </c>
      <c r="AL85" s="43" t="str">
        <f aca="false">IF(AI85="","",TRIM(INDEX($D:$D,85)&amp;" "&amp;INDEX($C:$C,85))&amp;IF(INDEX($I:$I,85)="Yes"," (child)",""))</f>
        <v/>
      </c>
      <c r="AM85" s="95" t="str">
        <f aca="false">IF(OR(AI85="",INDEX($X:$X,85)="",INDEX($U:$U,85)="Declined"),"",COUNTIFS($X$7:X85,"?*",$U$7:U85,"&lt;&gt;Declined",$AI$7:AI85,1))</f>
        <v/>
      </c>
      <c r="AN85" s="95" t="str">
        <f aca="false">IF(AI85="","",IF(INDEX($L:$L,85)="",1,IF(COUNTIF($L$7:L85,INDEX($L:$L,85))=1,1,"")))</f>
        <v/>
      </c>
      <c r="AO85" s="95" t="str">
        <f aca="false">IF(AN85&lt;&gt;1,"",IF(INDEX($L:$L,85)="",IF(INDEX($S:$S,85)="Yes",1,""),IF(COUNTIFS($L$7:$L$506,INDEX($L:$L,85),$S$7:$S$506,"Yes")&gt;0,1,"")))</f>
        <v/>
      </c>
      <c r="AP85" s="95" t="str">
        <f aca="false">IF(AN85&lt;&gt;1,"",IF(INDEX($L:$L,85)&lt;&gt;"",INDEX($L:$L,85),TRIM(INDEX($D:$D,85)&amp;" "&amp;INDEX($C:$C,85))))</f>
        <v/>
      </c>
      <c r="AQ85" s="43" t="str">
        <f aca="false">IF(OR(AI85="",INDEX($I:$I,85)="Yes"),"",1)</f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customFormat="false" ht="21.75" hidden="false" customHeight="true" outlineLevel="0" collapsed="false">
      <c r="A86" s="1"/>
      <c r="B86" s="113" t="str">
        <f aca="false">IF(AI86="","",COUNT($AI$7:AI86))</f>
        <v/>
      </c>
      <c r="C86" s="114"/>
      <c r="D86" s="114"/>
      <c r="E86" s="114"/>
      <c r="F86" s="114"/>
      <c r="G86" s="115"/>
      <c r="H86" s="115"/>
      <c r="I86" s="115"/>
      <c r="J86" s="115"/>
      <c r="K86" s="115"/>
      <c r="L86" s="114"/>
      <c r="M86" s="114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4"/>
      <c r="Y86" s="114"/>
      <c r="Z86" s="115"/>
      <c r="AA86" s="114"/>
      <c r="AB86" s="114"/>
      <c r="AC86" s="115"/>
      <c r="AD86" s="116"/>
      <c r="AE86" s="114"/>
      <c r="AF86" s="114"/>
      <c r="AG86" s="114"/>
      <c r="AH86" s="1"/>
      <c r="AI86" s="95" t="str">
        <f aca="false">IF(INDEX($C:$C,86)&amp;INDEX($D:$D,86)="","",1)</f>
        <v/>
      </c>
      <c r="AJ86" s="95" t="str">
        <f aca="false">IF(OR(AI86="",INDEX($Z:$Z,86)="",INDEX($U:$U,86)="Declined"),"",1)</f>
        <v/>
      </c>
      <c r="AK86" s="95" t="str">
        <f aca="false">IF(AJ86="","",INDEX($Z:$Z,86)&amp;"-"&amp;COUNTIFS($Z$7:Z86,INDEX($Z:$Z,86),$AJ$7:AJ86,1))</f>
        <v/>
      </c>
      <c r="AL86" s="43" t="str">
        <f aca="false">IF(AI86="","",TRIM(INDEX($D:$D,86)&amp;" "&amp;INDEX($C:$C,86))&amp;IF(INDEX($I:$I,86)="Yes"," (child)",""))</f>
        <v/>
      </c>
      <c r="AM86" s="95" t="str">
        <f aca="false">IF(OR(AI86="",INDEX($X:$X,86)="",INDEX($U:$U,86)="Declined"),"",COUNTIFS($X$7:X86,"?*",$U$7:U86,"&lt;&gt;Declined",$AI$7:AI86,1))</f>
        <v/>
      </c>
      <c r="AN86" s="95" t="str">
        <f aca="false">IF(AI86="","",IF(INDEX($L:$L,86)="",1,IF(COUNTIF($L$7:L86,INDEX($L:$L,86))=1,1,"")))</f>
        <v/>
      </c>
      <c r="AO86" s="95" t="str">
        <f aca="false">IF(AN86&lt;&gt;1,"",IF(INDEX($L:$L,86)="",IF(INDEX($S:$S,86)="Yes",1,""),IF(COUNTIFS($L$7:$L$506,INDEX($L:$L,86),$S$7:$S$506,"Yes")&gt;0,1,"")))</f>
        <v/>
      </c>
      <c r="AP86" s="95" t="str">
        <f aca="false">IF(AN86&lt;&gt;1,"",IF(INDEX($L:$L,86)&lt;&gt;"",INDEX($L:$L,86),TRIM(INDEX($D:$D,86)&amp;" "&amp;INDEX($C:$C,86))))</f>
        <v/>
      </c>
      <c r="AQ86" s="43" t="str">
        <f aca="false">IF(OR(AI86="",INDEX($I:$I,86)="Yes"),"",1)</f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customFormat="false" ht="21.75" hidden="false" customHeight="true" outlineLevel="0" collapsed="false">
      <c r="A87" s="1"/>
      <c r="B87" s="113" t="str">
        <f aca="false">IF(AI87="","",COUNT($AI$7:AI87))</f>
        <v/>
      </c>
      <c r="C87" s="114"/>
      <c r="D87" s="114"/>
      <c r="E87" s="114"/>
      <c r="F87" s="114"/>
      <c r="G87" s="115"/>
      <c r="H87" s="115"/>
      <c r="I87" s="115"/>
      <c r="J87" s="115"/>
      <c r="K87" s="115"/>
      <c r="L87" s="114"/>
      <c r="M87" s="114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4"/>
      <c r="Y87" s="114"/>
      <c r="Z87" s="115"/>
      <c r="AA87" s="114"/>
      <c r="AB87" s="114"/>
      <c r="AC87" s="115"/>
      <c r="AD87" s="116"/>
      <c r="AE87" s="114"/>
      <c r="AF87" s="114"/>
      <c r="AG87" s="114"/>
      <c r="AH87" s="1"/>
      <c r="AI87" s="95" t="str">
        <f aca="false">IF(INDEX($C:$C,87)&amp;INDEX($D:$D,87)="","",1)</f>
        <v/>
      </c>
      <c r="AJ87" s="95" t="str">
        <f aca="false">IF(OR(AI87="",INDEX($Z:$Z,87)="",INDEX($U:$U,87)="Declined"),"",1)</f>
        <v/>
      </c>
      <c r="AK87" s="95" t="str">
        <f aca="false">IF(AJ87="","",INDEX($Z:$Z,87)&amp;"-"&amp;COUNTIFS($Z$7:Z87,INDEX($Z:$Z,87),$AJ$7:AJ87,1))</f>
        <v/>
      </c>
      <c r="AL87" s="43" t="str">
        <f aca="false">IF(AI87="","",TRIM(INDEX($D:$D,87)&amp;" "&amp;INDEX($C:$C,87))&amp;IF(INDEX($I:$I,87)="Yes"," (child)",""))</f>
        <v/>
      </c>
      <c r="AM87" s="95" t="str">
        <f aca="false">IF(OR(AI87="",INDEX($X:$X,87)="",INDEX($U:$U,87)="Declined"),"",COUNTIFS($X$7:X87,"?*",$U$7:U87,"&lt;&gt;Declined",$AI$7:AI87,1))</f>
        <v/>
      </c>
      <c r="AN87" s="95" t="str">
        <f aca="false">IF(AI87="","",IF(INDEX($L:$L,87)="",1,IF(COUNTIF($L$7:L87,INDEX($L:$L,87))=1,1,"")))</f>
        <v/>
      </c>
      <c r="AO87" s="95" t="str">
        <f aca="false">IF(AN87&lt;&gt;1,"",IF(INDEX($L:$L,87)="",IF(INDEX($S:$S,87)="Yes",1,""),IF(COUNTIFS($L$7:$L$506,INDEX($L:$L,87),$S$7:$S$506,"Yes")&gt;0,1,"")))</f>
        <v/>
      </c>
      <c r="AP87" s="95" t="str">
        <f aca="false">IF(AN87&lt;&gt;1,"",IF(INDEX($L:$L,87)&lt;&gt;"",INDEX($L:$L,87),TRIM(INDEX($D:$D,87)&amp;" "&amp;INDEX($C:$C,87))))</f>
        <v/>
      </c>
      <c r="AQ87" s="43" t="str">
        <f aca="false">IF(OR(AI87="",INDEX($I:$I,87)="Yes"),"",1)</f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customFormat="false" ht="21.75" hidden="false" customHeight="true" outlineLevel="0" collapsed="false">
      <c r="A88" s="1"/>
      <c r="B88" s="113" t="str">
        <f aca="false">IF(AI88="","",COUNT($AI$7:AI88))</f>
        <v/>
      </c>
      <c r="C88" s="114"/>
      <c r="D88" s="114"/>
      <c r="E88" s="114"/>
      <c r="F88" s="114"/>
      <c r="G88" s="115"/>
      <c r="H88" s="115"/>
      <c r="I88" s="115"/>
      <c r="J88" s="115"/>
      <c r="K88" s="115"/>
      <c r="L88" s="114"/>
      <c r="M88" s="114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4"/>
      <c r="Y88" s="114"/>
      <c r="Z88" s="115"/>
      <c r="AA88" s="114"/>
      <c r="AB88" s="114"/>
      <c r="AC88" s="115"/>
      <c r="AD88" s="116"/>
      <c r="AE88" s="114"/>
      <c r="AF88" s="114"/>
      <c r="AG88" s="114"/>
      <c r="AH88" s="1"/>
      <c r="AI88" s="95" t="str">
        <f aca="false">IF(INDEX($C:$C,88)&amp;INDEX($D:$D,88)="","",1)</f>
        <v/>
      </c>
      <c r="AJ88" s="95" t="str">
        <f aca="false">IF(OR(AI88="",INDEX($Z:$Z,88)="",INDEX($U:$U,88)="Declined"),"",1)</f>
        <v/>
      </c>
      <c r="AK88" s="95" t="str">
        <f aca="false">IF(AJ88="","",INDEX($Z:$Z,88)&amp;"-"&amp;COUNTIFS($Z$7:Z88,INDEX($Z:$Z,88),$AJ$7:AJ88,1))</f>
        <v/>
      </c>
      <c r="AL88" s="43" t="str">
        <f aca="false">IF(AI88="","",TRIM(INDEX($D:$D,88)&amp;" "&amp;INDEX($C:$C,88))&amp;IF(INDEX($I:$I,88)="Yes"," (child)",""))</f>
        <v/>
      </c>
      <c r="AM88" s="95" t="str">
        <f aca="false">IF(OR(AI88="",INDEX($X:$X,88)="",INDEX($U:$U,88)="Declined"),"",COUNTIFS($X$7:X88,"?*",$U$7:U88,"&lt;&gt;Declined",$AI$7:AI88,1))</f>
        <v/>
      </c>
      <c r="AN88" s="95" t="str">
        <f aca="false">IF(AI88="","",IF(INDEX($L:$L,88)="",1,IF(COUNTIF($L$7:L88,INDEX($L:$L,88))=1,1,"")))</f>
        <v/>
      </c>
      <c r="AO88" s="95" t="str">
        <f aca="false">IF(AN88&lt;&gt;1,"",IF(INDEX($L:$L,88)="",IF(INDEX($S:$S,88)="Yes",1,""),IF(COUNTIFS($L$7:$L$506,INDEX($L:$L,88),$S$7:$S$506,"Yes")&gt;0,1,"")))</f>
        <v/>
      </c>
      <c r="AP88" s="95" t="str">
        <f aca="false">IF(AN88&lt;&gt;1,"",IF(INDEX($L:$L,88)&lt;&gt;"",INDEX($L:$L,88),TRIM(INDEX($D:$D,88)&amp;" "&amp;INDEX($C:$C,88))))</f>
        <v/>
      </c>
      <c r="AQ88" s="43" t="str">
        <f aca="false">IF(OR(AI88="",INDEX($I:$I,88)="Yes"),"",1)</f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customFormat="false" ht="21.75" hidden="false" customHeight="true" outlineLevel="0" collapsed="false">
      <c r="A89" s="1"/>
      <c r="B89" s="113" t="str">
        <f aca="false">IF(AI89="","",COUNT($AI$7:AI89))</f>
        <v/>
      </c>
      <c r="C89" s="114"/>
      <c r="D89" s="114"/>
      <c r="E89" s="114"/>
      <c r="F89" s="114"/>
      <c r="G89" s="115"/>
      <c r="H89" s="115"/>
      <c r="I89" s="115"/>
      <c r="J89" s="115"/>
      <c r="K89" s="115"/>
      <c r="L89" s="114"/>
      <c r="M89" s="114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4"/>
      <c r="Y89" s="114"/>
      <c r="Z89" s="115"/>
      <c r="AA89" s="114"/>
      <c r="AB89" s="114"/>
      <c r="AC89" s="115"/>
      <c r="AD89" s="116"/>
      <c r="AE89" s="114"/>
      <c r="AF89" s="114"/>
      <c r="AG89" s="114"/>
      <c r="AH89" s="1"/>
      <c r="AI89" s="95" t="str">
        <f aca="false">IF(INDEX($C:$C,89)&amp;INDEX($D:$D,89)="","",1)</f>
        <v/>
      </c>
      <c r="AJ89" s="95" t="str">
        <f aca="false">IF(OR(AI89="",INDEX($Z:$Z,89)="",INDEX($U:$U,89)="Declined"),"",1)</f>
        <v/>
      </c>
      <c r="AK89" s="95" t="str">
        <f aca="false">IF(AJ89="","",INDEX($Z:$Z,89)&amp;"-"&amp;COUNTIFS($Z$7:Z89,INDEX($Z:$Z,89),$AJ$7:AJ89,1))</f>
        <v/>
      </c>
      <c r="AL89" s="43" t="str">
        <f aca="false">IF(AI89="","",TRIM(INDEX($D:$D,89)&amp;" "&amp;INDEX($C:$C,89))&amp;IF(INDEX($I:$I,89)="Yes"," (child)",""))</f>
        <v/>
      </c>
      <c r="AM89" s="95" t="str">
        <f aca="false">IF(OR(AI89="",INDEX($X:$X,89)="",INDEX($U:$U,89)="Declined"),"",COUNTIFS($X$7:X89,"?*",$U$7:U89,"&lt;&gt;Declined",$AI$7:AI89,1))</f>
        <v/>
      </c>
      <c r="AN89" s="95" t="str">
        <f aca="false">IF(AI89="","",IF(INDEX($L:$L,89)="",1,IF(COUNTIF($L$7:L89,INDEX($L:$L,89))=1,1,"")))</f>
        <v/>
      </c>
      <c r="AO89" s="95" t="str">
        <f aca="false">IF(AN89&lt;&gt;1,"",IF(INDEX($L:$L,89)="",IF(INDEX($S:$S,89)="Yes",1,""),IF(COUNTIFS($L$7:$L$506,INDEX($L:$L,89),$S$7:$S$506,"Yes")&gt;0,1,"")))</f>
        <v/>
      </c>
      <c r="AP89" s="95" t="str">
        <f aca="false">IF(AN89&lt;&gt;1,"",IF(INDEX($L:$L,89)&lt;&gt;"",INDEX($L:$L,89),TRIM(INDEX($D:$D,89)&amp;" "&amp;INDEX($C:$C,89))))</f>
        <v/>
      </c>
      <c r="AQ89" s="43" t="str">
        <f aca="false">IF(OR(AI89="",INDEX($I:$I,89)="Yes"),"",1)</f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customFormat="false" ht="21.75" hidden="false" customHeight="true" outlineLevel="0" collapsed="false">
      <c r="A90" s="1"/>
      <c r="B90" s="113" t="str">
        <f aca="false">IF(AI90="","",COUNT($AI$7:AI90))</f>
        <v/>
      </c>
      <c r="C90" s="114"/>
      <c r="D90" s="114"/>
      <c r="E90" s="114"/>
      <c r="F90" s="114"/>
      <c r="G90" s="115"/>
      <c r="H90" s="115"/>
      <c r="I90" s="115"/>
      <c r="J90" s="115"/>
      <c r="K90" s="115"/>
      <c r="L90" s="114"/>
      <c r="M90" s="114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4"/>
      <c r="Y90" s="114"/>
      <c r="Z90" s="115"/>
      <c r="AA90" s="114"/>
      <c r="AB90" s="114"/>
      <c r="AC90" s="115"/>
      <c r="AD90" s="116"/>
      <c r="AE90" s="114"/>
      <c r="AF90" s="114"/>
      <c r="AG90" s="114"/>
      <c r="AH90" s="1"/>
      <c r="AI90" s="95" t="str">
        <f aca="false">IF(INDEX($C:$C,90)&amp;INDEX($D:$D,90)="","",1)</f>
        <v/>
      </c>
      <c r="AJ90" s="95" t="str">
        <f aca="false">IF(OR(AI90="",INDEX($Z:$Z,90)="",INDEX($U:$U,90)="Declined"),"",1)</f>
        <v/>
      </c>
      <c r="AK90" s="95" t="str">
        <f aca="false">IF(AJ90="","",INDEX($Z:$Z,90)&amp;"-"&amp;COUNTIFS($Z$7:Z90,INDEX($Z:$Z,90),$AJ$7:AJ90,1))</f>
        <v/>
      </c>
      <c r="AL90" s="43" t="str">
        <f aca="false">IF(AI90="","",TRIM(INDEX($D:$D,90)&amp;" "&amp;INDEX($C:$C,90))&amp;IF(INDEX($I:$I,90)="Yes"," (child)",""))</f>
        <v/>
      </c>
      <c r="AM90" s="95" t="str">
        <f aca="false">IF(OR(AI90="",INDEX($X:$X,90)="",INDEX($U:$U,90)="Declined"),"",COUNTIFS($X$7:X90,"?*",$U$7:U90,"&lt;&gt;Declined",$AI$7:AI90,1))</f>
        <v/>
      </c>
      <c r="AN90" s="95" t="str">
        <f aca="false">IF(AI90="","",IF(INDEX($L:$L,90)="",1,IF(COUNTIF($L$7:L90,INDEX($L:$L,90))=1,1,"")))</f>
        <v/>
      </c>
      <c r="AO90" s="95" t="str">
        <f aca="false">IF(AN90&lt;&gt;1,"",IF(INDEX($L:$L,90)="",IF(INDEX($S:$S,90)="Yes",1,""),IF(COUNTIFS($L$7:$L$506,INDEX($L:$L,90),$S$7:$S$506,"Yes")&gt;0,1,"")))</f>
        <v/>
      </c>
      <c r="AP90" s="95" t="str">
        <f aca="false">IF(AN90&lt;&gt;1,"",IF(INDEX($L:$L,90)&lt;&gt;"",INDEX($L:$L,90),TRIM(INDEX($D:$D,90)&amp;" "&amp;INDEX($C:$C,90))))</f>
        <v/>
      </c>
      <c r="AQ90" s="43" t="str">
        <f aca="false">IF(OR(AI90="",INDEX($I:$I,90)="Yes"),"",1)</f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customFormat="false" ht="21.75" hidden="false" customHeight="true" outlineLevel="0" collapsed="false">
      <c r="A91" s="1"/>
      <c r="B91" s="113" t="str">
        <f aca="false">IF(AI91="","",COUNT($AI$7:AI91))</f>
        <v/>
      </c>
      <c r="C91" s="114"/>
      <c r="D91" s="114"/>
      <c r="E91" s="114"/>
      <c r="F91" s="114"/>
      <c r="G91" s="115"/>
      <c r="H91" s="115"/>
      <c r="I91" s="115"/>
      <c r="J91" s="115"/>
      <c r="K91" s="115"/>
      <c r="L91" s="114"/>
      <c r="M91" s="114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4"/>
      <c r="Y91" s="114"/>
      <c r="Z91" s="115"/>
      <c r="AA91" s="114"/>
      <c r="AB91" s="114"/>
      <c r="AC91" s="115"/>
      <c r="AD91" s="116"/>
      <c r="AE91" s="114"/>
      <c r="AF91" s="114"/>
      <c r="AG91" s="114"/>
      <c r="AH91" s="1"/>
      <c r="AI91" s="95" t="str">
        <f aca="false">IF(INDEX($C:$C,91)&amp;INDEX($D:$D,91)="","",1)</f>
        <v/>
      </c>
      <c r="AJ91" s="95" t="str">
        <f aca="false">IF(OR(AI91="",INDEX($Z:$Z,91)="",INDEX($U:$U,91)="Declined"),"",1)</f>
        <v/>
      </c>
      <c r="AK91" s="95" t="str">
        <f aca="false">IF(AJ91="","",INDEX($Z:$Z,91)&amp;"-"&amp;COUNTIFS($Z$7:Z91,INDEX($Z:$Z,91),$AJ$7:AJ91,1))</f>
        <v/>
      </c>
      <c r="AL91" s="43" t="str">
        <f aca="false">IF(AI91="","",TRIM(INDEX($D:$D,91)&amp;" "&amp;INDEX($C:$C,91))&amp;IF(INDEX($I:$I,91)="Yes"," (child)",""))</f>
        <v/>
      </c>
      <c r="AM91" s="95" t="str">
        <f aca="false">IF(OR(AI91="",INDEX($X:$X,91)="",INDEX($U:$U,91)="Declined"),"",COUNTIFS($X$7:X91,"?*",$U$7:U91,"&lt;&gt;Declined",$AI$7:AI91,1))</f>
        <v/>
      </c>
      <c r="AN91" s="95" t="str">
        <f aca="false">IF(AI91="","",IF(INDEX($L:$L,91)="",1,IF(COUNTIF($L$7:L91,INDEX($L:$L,91))=1,1,"")))</f>
        <v/>
      </c>
      <c r="AO91" s="95" t="str">
        <f aca="false">IF(AN91&lt;&gt;1,"",IF(INDEX($L:$L,91)="",IF(INDEX($S:$S,91)="Yes",1,""),IF(COUNTIFS($L$7:$L$506,INDEX($L:$L,91),$S$7:$S$506,"Yes")&gt;0,1,"")))</f>
        <v/>
      </c>
      <c r="AP91" s="95" t="str">
        <f aca="false">IF(AN91&lt;&gt;1,"",IF(INDEX($L:$L,91)&lt;&gt;"",INDEX($L:$L,91),TRIM(INDEX($D:$D,91)&amp;" "&amp;INDEX($C:$C,91))))</f>
        <v/>
      </c>
      <c r="AQ91" s="43" t="str">
        <f aca="false">IF(OR(AI91="",INDEX($I:$I,91)="Yes"),"",1)</f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customFormat="false" ht="21.75" hidden="false" customHeight="true" outlineLevel="0" collapsed="false">
      <c r="A92" s="1"/>
      <c r="B92" s="113" t="str">
        <f aca="false">IF(AI92="","",COUNT($AI$7:AI92))</f>
        <v/>
      </c>
      <c r="C92" s="114"/>
      <c r="D92" s="114"/>
      <c r="E92" s="114"/>
      <c r="F92" s="114"/>
      <c r="G92" s="115"/>
      <c r="H92" s="115"/>
      <c r="I92" s="115"/>
      <c r="J92" s="115"/>
      <c r="K92" s="115"/>
      <c r="L92" s="114"/>
      <c r="M92" s="114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4"/>
      <c r="Y92" s="114"/>
      <c r="Z92" s="115"/>
      <c r="AA92" s="114"/>
      <c r="AB92" s="114"/>
      <c r="AC92" s="115"/>
      <c r="AD92" s="116"/>
      <c r="AE92" s="114"/>
      <c r="AF92" s="114"/>
      <c r="AG92" s="114"/>
      <c r="AH92" s="1"/>
      <c r="AI92" s="95" t="str">
        <f aca="false">IF(INDEX($C:$C,92)&amp;INDEX($D:$D,92)="","",1)</f>
        <v/>
      </c>
      <c r="AJ92" s="95" t="str">
        <f aca="false">IF(OR(AI92="",INDEX($Z:$Z,92)="",INDEX($U:$U,92)="Declined"),"",1)</f>
        <v/>
      </c>
      <c r="AK92" s="95" t="str">
        <f aca="false">IF(AJ92="","",INDEX($Z:$Z,92)&amp;"-"&amp;COUNTIFS($Z$7:Z92,INDEX($Z:$Z,92),$AJ$7:AJ92,1))</f>
        <v/>
      </c>
      <c r="AL92" s="43" t="str">
        <f aca="false">IF(AI92="","",TRIM(INDEX($D:$D,92)&amp;" "&amp;INDEX($C:$C,92))&amp;IF(INDEX($I:$I,92)="Yes"," (child)",""))</f>
        <v/>
      </c>
      <c r="AM92" s="95" t="str">
        <f aca="false">IF(OR(AI92="",INDEX($X:$X,92)="",INDEX($U:$U,92)="Declined"),"",COUNTIFS($X$7:X92,"?*",$U$7:U92,"&lt;&gt;Declined",$AI$7:AI92,1))</f>
        <v/>
      </c>
      <c r="AN92" s="95" t="str">
        <f aca="false">IF(AI92="","",IF(INDEX($L:$L,92)="",1,IF(COUNTIF($L$7:L92,INDEX($L:$L,92))=1,1,"")))</f>
        <v/>
      </c>
      <c r="AO92" s="95" t="str">
        <f aca="false">IF(AN92&lt;&gt;1,"",IF(INDEX($L:$L,92)="",IF(INDEX($S:$S,92)="Yes",1,""),IF(COUNTIFS($L$7:$L$506,INDEX($L:$L,92),$S$7:$S$506,"Yes")&gt;0,1,"")))</f>
        <v/>
      </c>
      <c r="AP92" s="95" t="str">
        <f aca="false">IF(AN92&lt;&gt;1,"",IF(INDEX($L:$L,92)&lt;&gt;"",INDEX($L:$L,92),TRIM(INDEX($D:$D,92)&amp;" "&amp;INDEX($C:$C,92))))</f>
        <v/>
      </c>
      <c r="AQ92" s="43" t="str">
        <f aca="false">IF(OR(AI92="",INDEX($I:$I,92)="Yes"),"",1)</f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customFormat="false" ht="21.75" hidden="false" customHeight="true" outlineLevel="0" collapsed="false">
      <c r="A93" s="1"/>
      <c r="B93" s="113" t="str">
        <f aca="false">IF(AI93="","",COUNT($AI$7:AI93))</f>
        <v/>
      </c>
      <c r="C93" s="114"/>
      <c r="D93" s="114"/>
      <c r="E93" s="114"/>
      <c r="F93" s="114"/>
      <c r="G93" s="115"/>
      <c r="H93" s="115"/>
      <c r="I93" s="115"/>
      <c r="J93" s="115"/>
      <c r="K93" s="115"/>
      <c r="L93" s="114"/>
      <c r="M93" s="114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4"/>
      <c r="Y93" s="114"/>
      <c r="Z93" s="115"/>
      <c r="AA93" s="114"/>
      <c r="AB93" s="114"/>
      <c r="AC93" s="115"/>
      <c r="AD93" s="116"/>
      <c r="AE93" s="114"/>
      <c r="AF93" s="114"/>
      <c r="AG93" s="114"/>
      <c r="AH93" s="1"/>
      <c r="AI93" s="95" t="str">
        <f aca="false">IF(INDEX($C:$C,93)&amp;INDEX($D:$D,93)="","",1)</f>
        <v/>
      </c>
      <c r="AJ93" s="95" t="str">
        <f aca="false">IF(OR(AI93="",INDEX($Z:$Z,93)="",INDEX($U:$U,93)="Declined"),"",1)</f>
        <v/>
      </c>
      <c r="AK93" s="95" t="str">
        <f aca="false">IF(AJ93="","",INDEX($Z:$Z,93)&amp;"-"&amp;COUNTIFS($Z$7:Z93,INDEX($Z:$Z,93),$AJ$7:AJ93,1))</f>
        <v/>
      </c>
      <c r="AL93" s="43" t="str">
        <f aca="false">IF(AI93="","",TRIM(INDEX($D:$D,93)&amp;" "&amp;INDEX($C:$C,93))&amp;IF(INDEX($I:$I,93)="Yes"," (child)",""))</f>
        <v/>
      </c>
      <c r="AM93" s="95" t="str">
        <f aca="false">IF(OR(AI93="",INDEX($X:$X,93)="",INDEX($U:$U,93)="Declined"),"",COUNTIFS($X$7:X93,"?*",$U$7:U93,"&lt;&gt;Declined",$AI$7:AI93,1))</f>
        <v/>
      </c>
      <c r="AN93" s="95" t="str">
        <f aca="false">IF(AI93="","",IF(INDEX($L:$L,93)="",1,IF(COUNTIF($L$7:L93,INDEX($L:$L,93))=1,1,"")))</f>
        <v/>
      </c>
      <c r="AO93" s="95" t="str">
        <f aca="false">IF(AN93&lt;&gt;1,"",IF(INDEX($L:$L,93)="",IF(INDEX($S:$S,93)="Yes",1,""),IF(COUNTIFS($L$7:$L$506,INDEX($L:$L,93),$S$7:$S$506,"Yes")&gt;0,1,"")))</f>
        <v/>
      </c>
      <c r="AP93" s="95" t="str">
        <f aca="false">IF(AN93&lt;&gt;1,"",IF(INDEX($L:$L,93)&lt;&gt;"",INDEX($L:$L,93),TRIM(INDEX($D:$D,93)&amp;" "&amp;INDEX($C:$C,93))))</f>
        <v/>
      </c>
      <c r="AQ93" s="43" t="str">
        <f aca="false">IF(OR(AI93="",INDEX($I:$I,93)="Yes"),"",1)</f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customFormat="false" ht="21.75" hidden="false" customHeight="true" outlineLevel="0" collapsed="false">
      <c r="A94" s="1"/>
      <c r="B94" s="113" t="str">
        <f aca="false">IF(AI94="","",COUNT($AI$7:AI94))</f>
        <v/>
      </c>
      <c r="C94" s="114"/>
      <c r="D94" s="114"/>
      <c r="E94" s="114"/>
      <c r="F94" s="114"/>
      <c r="G94" s="115"/>
      <c r="H94" s="115"/>
      <c r="I94" s="115"/>
      <c r="J94" s="115"/>
      <c r="K94" s="115"/>
      <c r="L94" s="114"/>
      <c r="M94" s="114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4"/>
      <c r="Y94" s="114"/>
      <c r="Z94" s="115"/>
      <c r="AA94" s="114"/>
      <c r="AB94" s="114"/>
      <c r="AC94" s="115"/>
      <c r="AD94" s="116"/>
      <c r="AE94" s="114"/>
      <c r="AF94" s="114"/>
      <c r="AG94" s="114"/>
      <c r="AH94" s="1"/>
      <c r="AI94" s="95" t="str">
        <f aca="false">IF(INDEX($C:$C,94)&amp;INDEX($D:$D,94)="","",1)</f>
        <v/>
      </c>
      <c r="AJ94" s="95" t="str">
        <f aca="false">IF(OR(AI94="",INDEX($Z:$Z,94)="",INDEX($U:$U,94)="Declined"),"",1)</f>
        <v/>
      </c>
      <c r="AK94" s="95" t="str">
        <f aca="false">IF(AJ94="","",INDEX($Z:$Z,94)&amp;"-"&amp;COUNTIFS($Z$7:Z94,INDEX($Z:$Z,94),$AJ$7:AJ94,1))</f>
        <v/>
      </c>
      <c r="AL94" s="43" t="str">
        <f aca="false">IF(AI94="","",TRIM(INDEX($D:$D,94)&amp;" "&amp;INDEX($C:$C,94))&amp;IF(INDEX($I:$I,94)="Yes"," (child)",""))</f>
        <v/>
      </c>
      <c r="AM94" s="95" t="str">
        <f aca="false">IF(OR(AI94="",INDEX($X:$X,94)="",INDEX($U:$U,94)="Declined"),"",COUNTIFS($X$7:X94,"?*",$U$7:U94,"&lt;&gt;Declined",$AI$7:AI94,1))</f>
        <v/>
      </c>
      <c r="AN94" s="95" t="str">
        <f aca="false">IF(AI94="","",IF(INDEX($L:$L,94)="",1,IF(COUNTIF($L$7:L94,INDEX($L:$L,94))=1,1,"")))</f>
        <v/>
      </c>
      <c r="AO94" s="95" t="str">
        <f aca="false">IF(AN94&lt;&gt;1,"",IF(INDEX($L:$L,94)="",IF(INDEX($S:$S,94)="Yes",1,""),IF(COUNTIFS($L$7:$L$506,INDEX($L:$L,94),$S$7:$S$506,"Yes")&gt;0,1,"")))</f>
        <v/>
      </c>
      <c r="AP94" s="95" t="str">
        <f aca="false">IF(AN94&lt;&gt;1,"",IF(INDEX($L:$L,94)&lt;&gt;"",INDEX($L:$L,94),TRIM(INDEX($D:$D,94)&amp;" "&amp;INDEX($C:$C,94))))</f>
        <v/>
      </c>
      <c r="AQ94" s="43" t="str">
        <f aca="false">IF(OR(AI94="",INDEX($I:$I,94)="Yes"),"",1)</f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customFormat="false" ht="21.75" hidden="false" customHeight="true" outlineLevel="0" collapsed="false">
      <c r="A95" s="1"/>
      <c r="B95" s="113" t="str">
        <f aca="false">IF(AI95="","",COUNT($AI$7:AI95))</f>
        <v/>
      </c>
      <c r="C95" s="114"/>
      <c r="D95" s="114"/>
      <c r="E95" s="114"/>
      <c r="F95" s="114"/>
      <c r="G95" s="115"/>
      <c r="H95" s="115"/>
      <c r="I95" s="115"/>
      <c r="J95" s="115"/>
      <c r="K95" s="115"/>
      <c r="L95" s="114"/>
      <c r="M95" s="114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4"/>
      <c r="Y95" s="114"/>
      <c r="Z95" s="115"/>
      <c r="AA95" s="114"/>
      <c r="AB95" s="114"/>
      <c r="AC95" s="115"/>
      <c r="AD95" s="116"/>
      <c r="AE95" s="114"/>
      <c r="AF95" s="114"/>
      <c r="AG95" s="114"/>
      <c r="AH95" s="1"/>
      <c r="AI95" s="95" t="str">
        <f aca="false">IF(INDEX($C:$C,95)&amp;INDEX($D:$D,95)="","",1)</f>
        <v/>
      </c>
      <c r="AJ95" s="95" t="str">
        <f aca="false">IF(OR(AI95="",INDEX($Z:$Z,95)="",INDEX($U:$U,95)="Declined"),"",1)</f>
        <v/>
      </c>
      <c r="AK95" s="95" t="str">
        <f aca="false">IF(AJ95="","",INDEX($Z:$Z,95)&amp;"-"&amp;COUNTIFS($Z$7:Z95,INDEX($Z:$Z,95),$AJ$7:AJ95,1))</f>
        <v/>
      </c>
      <c r="AL95" s="43" t="str">
        <f aca="false">IF(AI95="","",TRIM(INDEX($D:$D,95)&amp;" "&amp;INDEX($C:$C,95))&amp;IF(INDEX($I:$I,95)="Yes"," (child)",""))</f>
        <v/>
      </c>
      <c r="AM95" s="95" t="str">
        <f aca="false">IF(OR(AI95="",INDEX($X:$X,95)="",INDEX($U:$U,95)="Declined"),"",COUNTIFS($X$7:X95,"?*",$U$7:U95,"&lt;&gt;Declined",$AI$7:AI95,1))</f>
        <v/>
      </c>
      <c r="AN95" s="95" t="str">
        <f aca="false">IF(AI95="","",IF(INDEX($L:$L,95)="",1,IF(COUNTIF($L$7:L95,INDEX($L:$L,95))=1,1,"")))</f>
        <v/>
      </c>
      <c r="AO95" s="95" t="str">
        <f aca="false">IF(AN95&lt;&gt;1,"",IF(INDEX($L:$L,95)="",IF(INDEX($S:$S,95)="Yes",1,""),IF(COUNTIFS($L$7:$L$506,INDEX($L:$L,95),$S$7:$S$506,"Yes")&gt;0,1,"")))</f>
        <v/>
      </c>
      <c r="AP95" s="95" t="str">
        <f aca="false">IF(AN95&lt;&gt;1,"",IF(INDEX($L:$L,95)&lt;&gt;"",INDEX($L:$L,95),TRIM(INDEX($D:$D,95)&amp;" "&amp;INDEX($C:$C,95))))</f>
        <v/>
      </c>
      <c r="AQ95" s="43" t="str">
        <f aca="false">IF(OR(AI95="",INDEX($I:$I,95)="Yes"),"",1)</f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customFormat="false" ht="21.75" hidden="false" customHeight="true" outlineLevel="0" collapsed="false">
      <c r="A96" s="1"/>
      <c r="B96" s="113" t="str">
        <f aca="false">IF(AI96="","",COUNT($AI$7:AI96))</f>
        <v/>
      </c>
      <c r="C96" s="114"/>
      <c r="D96" s="114"/>
      <c r="E96" s="114"/>
      <c r="F96" s="114"/>
      <c r="G96" s="115"/>
      <c r="H96" s="115"/>
      <c r="I96" s="115"/>
      <c r="J96" s="115"/>
      <c r="K96" s="115"/>
      <c r="L96" s="114"/>
      <c r="M96" s="114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4"/>
      <c r="Y96" s="114"/>
      <c r="Z96" s="115"/>
      <c r="AA96" s="114"/>
      <c r="AB96" s="114"/>
      <c r="AC96" s="115"/>
      <c r="AD96" s="116"/>
      <c r="AE96" s="114"/>
      <c r="AF96" s="114"/>
      <c r="AG96" s="114"/>
      <c r="AH96" s="1"/>
      <c r="AI96" s="95" t="str">
        <f aca="false">IF(INDEX($C:$C,96)&amp;INDEX($D:$D,96)="","",1)</f>
        <v/>
      </c>
      <c r="AJ96" s="95" t="str">
        <f aca="false">IF(OR(AI96="",INDEX($Z:$Z,96)="",INDEX($U:$U,96)="Declined"),"",1)</f>
        <v/>
      </c>
      <c r="AK96" s="95" t="str">
        <f aca="false">IF(AJ96="","",INDEX($Z:$Z,96)&amp;"-"&amp;COUNTIFS($Z$7:Z96,INDEX($Z:$Z,96),$AJ$7:AJ96,1))</f>
        <v/>
      </c>
      <c r="AL96" s="43" t="str">
        <f aca="false">IF(AI96="","",TRIM(INDEX($D:$D,96)&amp;" "&amp;INDEX($C:$C,96))&amp;IF(INDEX($I:$I,96)="Yes"," (child)",""))</f>
        <v/>
      </c>
      <c r="AM96" s="95" t="str">
        <f aca="false">IF(OR(AI96="",INDEX($X:$X,96)="",INDEX($U:$U,96)="Declined"),"",COUNTIFS($X$7:X96,"?*",$U$7:U96,"&lt;&gt;Declined",$AI$7:AI96,1))</f>
        <v/>
      </c>
      <c r="AN96" s="95" t="str">
        <f aca="false">IF(AI96="","",IF(INDEX($L:$L,96)="",1,IF(COUNTIF($L$7:L96,INDEX($L:$L,96))=1,1,"")))</f>
        <v/>
      </c>
      <c r="AO96" s="95" t="str">
        <f aca="false">IF(AN96&lt;&gt;1,"",IF(INDEX($L:$L,96)="",IF(INDEX($S:$S,96)="Yes",1,""),IF(COUNTIFS($L$7:$L$506,INDEX($L:$L,96),$S$7:$S$506,"Yes")&gt;0,1,"")))</f>
        <v/>
      </c>
      <c r="AP96" s="95" t="str">
        <f aca="false">IF(AN96&lt;&gt;1,"",IF(INDEX($L:$L,96)&lt;&gt;"",INDEX($L:$L,96),TRIM(INDEX($D:$D,96)&amp;" "&amp;INDEX($C:$C,96))))</f>
        <v/>
      </c>
      <c r="AQ96" s="43" t="str">
        <f aca="false">IF(OR(AI96="",INDEX($I:$I,96)="Yes"),"",1)</f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customFormat="false" ht="21.75" hidden="false" customHeight="true" outlineLevel="0" collapsed="false">
      <c r="A97" s="1"/>
      <c r="B97" s="113" t="str">
        <f aca="false">IF(AI97="","",COUNT($AI$7:AI97))</f>
        <v/>
      </c>
      <c r="C97" s="114"/>
      <c r="D97" s="114"/>
      <c r="E97" s="114"/>
      <c r="F97" s="114"/>
      <c r="G97" s="115"/>
      <c r="H97" s="115"/>
      <c r="I97" s="115"/>
      <c r="J97" s="115"/>
      <c r="K97" s="115"/>
      <c r="L97" s="114"/>
      <c r="M97" s="114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4"/>
      <c r="Y97" s="114"/>
      <c r="Z97" s="115"/>
      <c r="AA97" s="114"/>
      <c r="AB97" s="114"/>
      <c r="AC97" s="115"/>
      <c r="AD97" s="116"/>
      <c r="AE97" s="114"/>
      <c r="AF97" s="114"/>
      <c r="AG97" s="114"/>
      <c r="AH97" s="1"/>
      <c r="AI97" s="95" t="str">
        <f aca="false">IF(INDEX($C:$C,97)&amp;INDEX($D:$D,97)="","",1)</f>
        <v/>
      </c>
      <c r="AJ97" s="95" t="str">
        <f aca="false">IF(OR(AI97="",INDEX($Z:$Z,97)="",INDEX($U:$U,97)="Declined"),"",1)</f>
        <v/>
      </c>
      <c r="AK97" s="95" t="str">
        <f aca="false">IF(AJ97="","",INDEX($Z:$Z,97)&amp;"-"&amp;COUNTIFS($Z$7:Z97,INDEX($Z:$Z,97),$AJ$7:AJ97,1))</f>
        <v/>
      </c>
      <c r="AL97" s="43" t="str">
        <f aca="false">IF(AI97="","",TRIM(INDEX($D:$D,97)&amp;" "&amp;INDEX($C:$C,97))&amp;IF(INDEX($I:$I,97)="Yes"," (child)",""))</f>
        <v/>
      </c>
      <c r="AM97" s="95" t="str">
        <f aca="false">IF(OR(AI97="",INDEX($X:$X,97)="",INDEX($U:$U,97)="Declined"),"",COUNTIFS($X$7:X97,"?*",$U$7:U97,"&lt;&gt;Declined",$AI$7:AI97,1))</f>
        <v/>
      </c>
      <c r="AN97" s="95" t="str">
        <f aca="false">IF(AI97="","",IF(INDEX($L:$L,97)="",1,IF(COUNTIF($L$7:L97,INDEX($L:$L,97))=1,1,"")))</f>
        <v/>
      </c>
      <c r="AO97" s="95" t="str">
        <f aca="false">IF(AN97&lt;&gt;1,"",IF(INDEX($L:$L,97)="",IF(INDEX($S:$S,97)="Yes",1,""),IF(COUNTIFS($L$7:$L$506,INDEX($L:$L,97),$S$7:$S$506,"Yes")&gt;0,1,"")))</f>
        <v/>
      </c>
      <c r="AP97" s="95" t="str">
        <f aca="false">IF(AN97&lt;&gt;1,"",IF(INDEX($L:$L,97)&lt;&gt;"",INDEX($L:$L,97),TRIM(INDEX($D:$D,97)&amp;" "&amp;INDEX($C:$C,97))))</f>
        <v/>
      </c>
      <c r="AQ97" s="43" t="str">
        <f aca="false">IF(OR(AI97="",INDEX($I:$I,97)="Yes"),"",1)</f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customFormat="false" ht="21.75" hidden="false" customHeight="true" outlineLevel="0" collapsed="false">
      <c r="A98" s="1"/>
      <c r="B98" s="113" t="str">
        <f aca="false">IF(AI98="","",COUNT($AI$7:AI98))</f>
        <v/>
      </c>
      <c r="C98" s="114"/>
      <c r="D98" s="114"/>
      <c r="E98" s="114"/>
      <c r="F98" s="114"/>
      <c r="G98" s="115"/>
      <c r="H98" s="115"/>
      <c r="I98" s="115"/>
      <c r="J98" s="115"/>
      <c r="K98" s="115"/>
      <c r="L98" s="114"/>
      <c r="M98" s="114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4"/>
      <c r="Y98" s="114"/>
      <c r="Z98" s="115"/>
      <c r="AA98" s="114"/>
      <c r="AB98" s="114"/>
      <c r="AC98" s="115"/>
      <c r="AD98" s="116"/>
      <c r="AE98" s="114"/>
      <c r="AF98" s="114"/>
      <c r="AG98" s="114"/>
      <c r="AH98" s="1"/>
      <c r="AI98" s="95" t="str">
        <f aca="false">IF(INDEX($C:$C,98)&amp;INDEX($D:$D,98)="","",1)</f>
        <v/>
      </c>
      <c r="AJ98" s="95" t="str">
        <f aca="false">IF(OR(AI98="",INDEX($Z:$Z,98)="",INDEX($U:$U,98)="Declined"),"",1)</f>
        <v/>
      </c>
      <c r="AK98" s="95" t="str">
        <f aca="false">IF(AJ98="","",INDEX($Z:$Z,98)&amp;"-"&amp;COUNTIFS($Z$7:Z98,INDEX($Z:$Z,98),$AJ$7:AJ98,1))</f>
        <v/>
      </c>
      <c r="AL98" s="43" t="str">
        <f aca="false">IF(AI98="","",TRIM(INDEX($D:$D,98)&amp;" "&amp;INDEX($C:$C,98))&amp;IF(INDEX($I:$I,98)="Yes"," (child)",""))</f>
        <v/>
      </c>
      <c r="AM98" s="95" t="str">
        <f aca="false">IF(OR(AI98="",INDEX($X:$X,98)="",INDEX($U:$U,98)="Declined"),"",COUNTIFS($X$7:X98,"?*",$U$7:U98,"&lt;&gt;Declined",$AI$7:AI98,1))</f>
        <v/>
      </c>
      <c r="AN98" s="95" t="str">
        <f aca="false">IF(AI98="","",IF(INDEX($L:$L,98)="",1,IF(COUNTIF($L$7:L98,INDEX($L:$L,98))=1,1,"")))</f>
        <v/>
      </c>
      <c r="AO98" s="95" t="str">
        <f aca="false">IF(AN98&lt;&gt;1,"",IF(INDEX($L:$L,98)="",IF(INDEX($S:$S,98)="Yes",1,""),IF(COUNTIFS($L$7:$L$506,INDEX($L:$L,98),$S$7:$S$506,"Yes")&gt;0,1,"")))</f>
        <v/>
      </c>
      <c r="AP98" s="95" t="str">
        <f aca="false">IF(AN98&lt;&gt;1,"",IF(INDEX($L:$L,98)&lt;&gt;"",INDEX($L:$L,98),TRIM(INDEX($D:$D,98)&amp;" "&amp;INDEX($C:$C,98))))</f>
        <v/>
      </c>
      <c r="AQ98" s="43" t="str">
        <f aca="false">IF(OR(AI98="",INDEX($I:$I,98)="Yes"),"",1)</f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customFormat="false" ht="21.75" hidden="false" customHeight="true" outlineLevel="0" collapsed="false">
      <c r="A99" s="1"/>
      <c r="B99" s="113" t="str">
        <f aca="false">IF(AI99="","",COUNT($AI$7:AI99))</f>
        <v/>
      </c>
      <c r="C99" s="114"/>
      <c r="D99" s="114"/>
      <c r="E99" s="114"/>
      <c r="F99" s="114"/>
      <c r="G99" s="115"/>
      <c r="H99" s="115"/>
      <c r="I99" s="115"/>
      <c r="J99" s="115"/>
      <c r="K99" s="115"/>
      <c r="L99" s="114"/>
      <c r="M99" s="114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4"/>
      <c r="Y99" s="114"/>
      <c r="Z99" s="115"/>
      <c r="AA99" s="114"/>
      <c r="AB99" s="114"/>
      <c r="AC99" s="115"/>
      <c r="AD99" s="116"/>
      <c r="AE99" s="114"/>
      <c r="AF99" s="114"/>
      <c r="AG99" s="114"/>
      <c r="AH99" s="1"/>
      <c r="AI99" s="95" t="str">
        <f aca="false">IF(INDEX($C:$C,99)&amp;INDEX($D:$D,99)="","",1)</f>
        <v/>
      </c>
      <c r="AJ99" s="95" t="str">
        <f aca="false">IF(OR(AI99="",INDEX($Z:$Z,99)="",INDEX($U:$U,99)="Declined"),"",1)</f>
        <v/>
      </c>
      <c r="AK99" s="95" t="str">
        <f aca="false">IF(AJ99="","",INDEX($Z:$Z,99)&amp;"-"&amp;COUNTIFS($Z$7:Z99,INDEX($Z:$Z,99),$AJ$7:AJ99,1))</f>
        <v/>
      </c>
      <c r="AL99" s="43" t="str">
        <f aca="false">IF(AI99="","",TRIM(INDEX($D:$D,99)&amp;" "&amp;INDEX($C:$C,99))&amp;IF(INDEX($I:$I,99)="Yes"," (child)",""))</f>
        <v/>
      </c>
      <c r="AM99" s="95" t="str">
        <f aca="false">IF(OR(AI99="",INDEX($X:$X,99)="",INDEX($U:$U,99)="Declined"),"",COUNTIFS($X$7:X99,"?*",$U$7:U99,"&lt;&gt;Declined",$AI$7:AI99,1))</f>
        <v/>
      </c>
      <c r="AN99" s="95" t="str">
        <f aca="false">IF(AI99="","",IF(INDEX($L:$L,99)="",1,IF(COUNTIF($L$7:L99,INDEX($L:$L,99))=1,1,"")))</f>
        <v/>
      </c>
      <c r="AO99" s="95" t="str">
        <f aca="false">IF(AN99&lt;&gt;1,"",IF(INDEX($L:$L,99)="",IF(INDEX($S:$S,99)="Yes",1,""),IF(COUNTIFS($L$7:$L$506,INDEX($L:$L,99),$S$7:$S$506,"Yes")&gt;0,1,"")))</f>
        <v/>
      </c>
      <c r="AP99" s="95" t="str">
        <f aca="false">IF(AN99&lt;&gt;1,"",IF(INDEX($L:$L,99)&lt;&gt;"",INDEX($L:$L,99),TRIM(INDEX($D:$D,99)&amp;" "&amp;INDEX($C:$C,99))))</f>
        <v/>
      </c>
      <c r="AQ99" s="43" t="str">
        <f aca="false">IF(OR(AI99="",INDEX($I:$I,99)="Yes"),"",1)</f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customFormat="false" ht="21.75" hidden="false" customHeight="true" outlineLevel="0" collapsed="false">
      <c r="A100" s="1"/>
      <c r="B100" s="113" t="str">
        <f aca="false">IF(AI100="","",COUNT($AI$7:AI100))</f>
        <v/>
      </c>
      <c r="C100" s="114"/>
      <c r="D100" s="114"/>
      <c r="E100" s="114"/>
      <c r="F100" s="114"/>
      <c r="G100" s="115"/>
      <c r="H100" s="115"/>
      <c r="I100" s="115"/>
      <c r="J100" s="115"/>
      <c r="K100" s="115"/>
      <c r="L100" s="114"/>
      <c r="M100" s="114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4"/>
      <c r="Y100" s="114"/>
      <c r="Z100" s="115"/>
      <c r="AA100" s="114"/>
      <c r="AB100" s="114"/>
      <c r="AC100" s="115"/>
      <c r="AD100" s="116"/>
      <c r="AE100" s="114"/>
      <c r="AF100" s="114"/>
      <c r="AG100" s="114"/>
      <c r="AH100" s="1"/>
      <c r="AI100" s="95" t="str">
        <f aca="false">IF(INDEX($C:$C,100)&amp;INDEX($D:$D,100)="","",1)</f>
        <v/>
      </c>
      <c r="AJ100" s="95" t="str">
        <f aca="false">IF(OR(AI100="",INDEX($Z:$Z,100)="",INDEX($U:$U,100)="Declined"),"",1)</f>
        <v/>
      </c>
      <c r="AK100" s="95" t="str">
        <f aca="false">IF(AJ100="","",INDEX($Z:$Z,100)&amp;"-"&amp;COUNTIFS($Z$7:Z100,INDEX($Z:$Z,100),$AJ$7:AJ100,1))</f>
        <v/>
      </c>
      <c r="AL100" s="43" t="str">
        <f aca="false">IF(AI100="","",TRIM(INDEX($D:$D,100)&amp;" "&amp;INDEX($C:$C,100))&amp;IF(INDEX($I:$I,100)="Yes"," (child)",""))</f>
        <v/>
      </c>
      <c r="AM100" s="95" t="str">
        <f aca="false">IF(OR(AI100="",INDEX($X:$X,100)="",INDEX($U:$U,100)="Declined"),"",COUNTIFS($X$7:X100,"?*",$U$7:U100,"&lt;&gt;Declined",$AI$7:AI100,1))</f>
        <v/>
      </c>
      <c r="AN100" s="95" t="str">
        <f aca="false">IF(AI100="","",IF(INDEX($L:$L,100)="",1,IF(COUNTIF($L$7:L100,INDEX($L:$L,100))=1,1,"")))</f>
        <v/>
      </c>
      <c r="AO100" s="95" t="str">
        <f aca="false">IF(AN100&lt;&gt;1,"",IF(INDEX($L:$L,100)="",IF(INDEX($S:$S,100)="Yes",1,""),IF(COUNTIFS($L$7:$L$506,INDEX($L:$L,100),$S$7:$S$506,"Yes")&gt;0,1,"")))</f>
        <v/>
      </c>
      <c r="AP100" s="95" t="str">
        <f aca="false">IF(AN100&lt;&gt;1,"",IF(INDEX($L:$L,100)&lt;&gt;"",INDEX($L:$L,100),TRIM(INDEX($D:$D,100)&amp;" "&amp;INDEX($C:$C,100))))</f>
        <v/>
      </c>
      <c r="AQ100" s="43" t="str">
        <f aca="false">IF(OR(AI100="",INDEX($I:$I,100)="Yes"),"",1)</f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customFormat="false" ht="21.75" hidden="false" customHeight="true" outlineLevel="0" collapsed="false">
      <c r="A101" s="1"/>
      <c r="B101" s="113" t="str">
        <f aca="false">IF(AI101="","",COUNT($AI$7:AI101))</f>
        <v/>
      </c>
      <c r="C101" s="114"/>
      <c r="D101" s="114"/>
      <c r="E101" s="114"/>
      <c r="F101" s="114"/>
      <c r="G101" s="115"/>
      <c r="H101" s="115"/>
      <c r="I101" s="115"/>
      <c r="J101" s="115"/>
      <c r="K101" s="115"/>
      <c r="L101" s="114"/>
      <c r="M101" s="114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4"/>
      <c r="Y101" s="114"/>
      <c r="Z101" s="115"/>
      <c r="AA101" s="114"/>
      <c r="AB101" s="114"/>
      <c r="AC101" s="115"/>
      <c r="AD101" s="116"/>
      <c r="AE101" s="114"/>
      <c r="AF101" s="114"/>
      <c r="AG101" s="114"/>
      <c r="AH101" s="1"/>
      <c r="AI101" s="95" t="str">
        <f aca="false">IF(INDEX($C:$C,101)&amp;INDEX($D:$D,101)="","",1)</f>
        <v/>
      </c>
      <c r="AJ101" s="95" t="str">
        <f aca="false">IF(OR(AI101="",INDEX($Z:$Z,101)="",INDEX($U:$U,101)="Declined"),"",1)</f>
        <v/>
      </c>
      <c r="AK101" s="95" t="str">
        <f aca="false">IF(AJ101="","",INDEX($Z:$Z,101)&amp;"-"&amp;COUNTIFS($Z$7:Z101,INDEX($Z:$Z,101),$AJ$7:AJ101,1))</f>
        <v/>
      </c>
      <c r="AL101" s="43" t="str">
        <f aca="false">IF(AI101="","",TRIM(INDEX($D:$D,101)&amp;" "&amp;INDEX($C:$C,101))&amp;IF(INDEX($I:$I,101)="Yes"," (child)",""))</f>
        <v/>
      </c>
      <c r="AM101" s="95" t="str">
        <f aca="false">IF(OR(AI101="",INDEX($X:$X,101)="",INDEX($U:$U,101)="Declined"),"",COUNTIFS($X$7:X101,"?*",$U$7:U101,"&lt;&gt;Declined",$AI$7:AI101,1))</f>
        <v/>
      </c>
      <c r="AN101" s="95" t="str">
        <f aca="false">IF(AI101="","",IF(INDEX($L:$L,101)="",1,IF(COUNTIF($L$7:L101,INDEX($L:$L,101))=1,1,"")))</f>
        <v/>
      </c>
      <c r="AO101" s="95" t="str">
        <f aca="false">IF(AN101&lt;&gt;1,"",IF(INDEX($L:$L,101)="",IF(INDEX($S:$S,101)="Yes",1,""),IF(COUNTIFS($L$7:$L$506,INDEX($L:$L,101),$S$7:$S$506,"Yes")&gt;0,1,"")))</f>
        <v/>
      </c>
      <c r="AP101" s="95" t="str">
        <f aca="false">IF(AN101&lt;&gt;1,"",IF(INDEX($L:$L,101)&lt;&gt;"",INDEX($L:$L,101),TRIM(INDEX($D:$D,101)&amp;" "&amp;INDEX($C:$C,101))))</f>
        <v/>
      </c>
      <c r="AQ101" s="43" t="str">
        <f aca="false">IF(OR(AI101="",INDEX($I:$I,101)="Yes"),"",1)</f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customFormat="false" ht="21.75" hidden="false" customHeight="true" outlineLevel="0" collapsed="false">
      <c r="A102" s="1"/>
      <c r="B102" s="113" t="str">
        <f aca="false">IF(AI102="","",COUNT($AI$7:AI102))</f>
        <v/>
      </c>
      <c r="C102" s="114"/>
      <c r="D102" s="114"/>
      <c r="E102" s="114"/>
      <c r="F102" s="114"/>
      <c r="G102" s="115"/>
      <c r="H102" s="115"/>
      <c r="I102" s="115"/>
      <c r="J102" s="115"/>
      <c r="K102" s="115"/>
      <c r="L102" s="114"/>
      <c r="M102" s="114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4"/>
      <c r="Y102" s="114"/>
      <c r="Z102" s="115"/>
      <c r="AA102" s="114"/>
      <c r="AB102" s="114"/>
      <c r="AC102" s="115"/>
      <c r="AD102" s="116"/>
      <c r="AE102" s="114"/>
      <c r="AF102" s="114"/>
      <c r="AG102" s="114"/>
      <c r="AH102" s="1"/>
      <c r="AI102" s="95" t="str">
        <f aca="false">IF(INDEX($C:$C,102)&amp;INDEX($D:$D,102)="","",1)</f>
        <v/>
      </c>
      <c r="AJ102" s="95" t="str">
        <f aca="false">IF(OR(AI102="",INDEX($Z:$Z,102)="",INDEX($U:$U,102)="Declined"),"",1)</f>
        <v/>
      </c>
      <c r="AK102" s="95" t="str">
        <f aca="false">IF(AJ102="","",INDEX($Z:$Z,102)&amp;"-"&amp;COUNTIFS($Z$7:Z102,INDEX($Z:$Z,102),$AJ$7:AJ102,1))</f>
        <v/>
      </c>
      <c r="AL102" s="43" t="str">
        <f aca="false">IF(AI102="","",TRIM(INDEX($D:$D,102)&amp;" "&amp;INDEX($C:$C,102))&amp;IF(INDEX($I:$I,102)="Yes"," (child)",""))</f>
        <v/>
      </c>
      <c r="AM102" s="95" t="str">
        <f aca="false">IF(OR(AI102="",INDEX($X:$X,102)="",INDEX($U:$U,102)="Declined"),"",COUNTIFS($X$7:X102,"?*",$U$7:U102,"&lt;&gt;Declined",$AI$7:AI102,1))</f>
        <v/>
      </c>
      <c r="AN102" s="95" t="str">
        <f aca="false">IF(AI102="","",IF(INDEX($L:$L,102)="",1,IF(COUNTIF($L$7:L102,INDEX($L:$L,102))=1,1,"")))</f>
        <v/>
      </c>
      <c r="AO102" s="95" t="str">
        <f aca="false">IF(AN102&lt;&gt;1,"",IF(INDEX($L:$L,102)="",IF(INDEX($S:$S,102)="Yes",1,""),IF(COUNTIFS($L$7:$L$506,INDEX($L:$L,102),$S$7:$S$506,"Yes")&gt;0,1,"")))</f>
        <v/>
      </c>
      <c r="AP102" s="95" t="str">
        <f aca="false">IF(AN102&lt;&gt;1,"",IF(INDEX($L:$L,102)&lt;&gt;"",INDEX($L:$L,102),TRIM(INDEX($D:$D,102)&amp;" "&amp;INDEX($C:$C,102))))</f>
        <v/>
      </c>
      <c r="AQ102" s="43" t="str">
        <f aca="false">IF(OR(AI102="",INDEX($I:$I,102)="Yes"),"",1)</f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customFormat="false" ht="21.75" hidden="false" customHeight="true" outlineLevel="0" collapsed="false">
      <c r="A103" s="1"/>
      <c r="B103" s="113" t="str">
        <f aca="false">IF(AI103="","",COUNT($AI$7:AI103))</f>
        <v/>
      </c>
      <c r="C103" s="114"/>
      <c r="D103" s="114"/>
      <c r="E103" s="114"/>
      <c r="F103" s="114"/>
      <c r="G103" s="115"/>
      <c r="H103" s="115"/>
      <c r="I103" s="115"/>
      <c r="J103" s="115"/>
      <c r="K103" s="115"/>
      <c r="L103" s="114"/>
      <c r="M103" s="114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4"/>
      <c r="Y103" s="114"/>
      <c r="Z103" s="115"/>
      <c r="AA103" s="114"/>
      <c r="AB103" s="114"/>
      <c r="AC103" s="115"/>
      <c r="AD103" s="116"/>
      <c r="AE103" s="114"/>
      <c r="AF103" s="114"/>
      <c r="AG103" s="114"/>
      <c r="AH103" s="1"/>
      <c r="AI103" s="95" t="str">
        <f aca="false">IF(INDEX($C:$C,103)&amp;INDEX($D:$D,103)="","",1)</f>
        <v/>
      </c>
      <c r="AJ103" s="95" t="str">
        <f aca="false">IF(OR(AI103="",INDEX($Z:$Z,103)="",INDEX($U:$U,103)="Declined"),"",1)</f>
        <v/>
      </c>
      <c r="AK103" s="95" t="str">
        <f aca="false">IF(AJ103="","",INDEX($Z:$Z,103)&amp;"-"&amp;COUNTIFS($Z$7:Z103,INDEX($Z:$Z,103),$AJ$7:AJ103,1))</f>
        <v/>
      </c>
      <c r="AL103" s="43" t="str">
        <f aca="false">IF(AI103="","",TRIM(INDEX($D:$D,103)&amp;" "&amp;INDEX($C:$C,103))&amp;IF(INDEX($I:$I,103)="Yes"," (child)",""))</f>
        <v/>
      </c>
      <c r="AM103" s="95" t="str">
        <f aca="false">IF(OR(AI103="",INDEX($X:$X,103)="",INDEX($U:$U,103)="Declined"),"",COUNTIFS($X$7:X103,"?*",$U$7:U103,"&lt;&gt;Declined",$AI$7:AI103,1))</f>
        <v/>
      </c>
      <c r="AN103" s="95" t="str">
        <f aca="false">IF(AI103="","",IF(INDEX($L:$L,103)="",1,IF(COUNTIF($L$7:L103,INDEX($L:$L,103))=1,1,"")))</f>
        <v/>
      </c>
      <c r="AO103" s="95" t="str">
        <f aca="false">IF(AN103&lt;&gt;1,"",IF(INDEX($L:$L,103)="",IF(INDEX($S:$S,103)="Yes",1,""),IF(COUNTIFS($L$7:$L$506,INDEX($L:$L,103),$S$7:$S$506,"Yes")&gt;0,1,"")))</f>
        <v/>
      </c>
      <c r="AP103" s="95" t="str">
        <f aca="false">IF(AN103&lt;&gt;1,"",IF(INDEX($L:$L,103)&lt;&gt;"",INDEX($L:$L,103),TRIM(INDEX($D:$D,103)&amp;" "&amp;INDEX($C:$C,103))))</f>
        <v/>
      </c>
      <c r="AQ103" s="43" t="str">
        <f aca="false">IF(OR(AI103="",INDEX($I:$I,103)="Yes"),"",1)</f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customFormat="false" ht="21.75" hidden="false" customHeight="true" outlineLevel="0" collapsed="false">
      <c r="A104" s="1"/>
      <c r="B104" s="113" t="str">
        <f aca="false">IF(AI104="","",COUNT($AI$7:AI104))</f>
        <v/>
      </c>
      <c r="C104" s="114"/>
      <c r="D104" s="114"/>
      <c r="E104" s="114"/>
      <c r="F104" s="114"/>
      <c r="G104" s="115"/>
      <c r="H104" s="115"/>
      <c r="I104" s="115"/>
      <c r="J104" s="115"/>
      <c r="K104" s="115"/>
      <c r="L104" s="114"/>
      <c r="M104" s="114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4"/>
      <c r="Y104" s="114"/>
      <c r="Z104" s="115"/>
      <c r="AA104" s="114"/>
      <c r="AB104" s="114"/>
      <c r="AC104" s="115"/>
      <c r="AD104" s="116"/>
      <c r="AE104" s="114"/>
      <c r="AF104" s="114"/>
      <c r="AG104" s="114"/>
      <c r="AH104" s="1"/>
      <c r="AI104" s="95" t="str">
        <f aca="false">IF(INDEX($C:$C,104)&amp;INDEX($D:$D,104)="","",1)</f>
        <v/>
      </c>
      <c r="AJ104" s="95" t="str">
        <f aca="false">IF(OR(AI104="",INDEX($Z:$Z,104)="",INDEX($U:$U,104)="Declined"),"",1)</f>
        <v/>
      </c>
      <c r="AK104" s="95" t="str">
        <f aca="false">IF(AJ104="","",INDEX($Z:$Z,104)&amp;"-"&amp;COUNTIFS($Z$7:Z104,INDEX($Z:$Z,104),$AJ$7:AJ104,1))</f>
        <v/>
      </c>
      <c r="AL104" s="43" t="str">
        <f aca="false">IF(AI104="","",TRIM(INDEX($D:$D,104)&amp;" "&amp;INDEX($C:$C,104))&amp;IF(INDEX($I:$I,104)="Yes"," (child)",""))</f>
        <v/>
      </c>
      <c r="AM104" s="95" t="str">
        <f aca="false">IF(OR(AI104="",INDEX($X:$X,104)="",INDEX($U:$U,104)="Declined"),"",COUNTIFS($X$7:X104,"?*",$U$7:U104,"&lt;&gt;Declined",$AI$7:AI104,1))</f>
        <v/>
      </c>
      <c r="AN104" s="95" t="str">
        <f aca="false">IF(AI104="","",IF(INDEX($L:$L,104)="",1,IF(COUNTIF($L$7:L104,INDEX($L:$L,104))=1,1,"")))</f>
        <v/>
      </c>
      <c r="AO104" s="95" t="str">
        <f aca="false">IF(AN104&lt;&gt;1,"",IF(INDEX($L:$L,104)="",IF(INDEX($S:$S,104)="Yes",1,""),IF(COUNTIFS($L$7:$L$506,INDEX($L:$L,104),$S$7:$S$506,"Yes")&gt;0,1,"")))</f>
        <v/>
      </c>
      <c r="AP104" s="95" t="str">
        <f aca="false">IF(AN104&lt;&gt;1,"",IF(INDEX($L:$L,104)&lt;&gt;"",INDEX($L:$L,104),TRIM(INDEX($D:$D,104)&amp;" "&amp;INDEX($C:$C,104))))</f>
        <v/>
      </c>
      <c r="AQ104" s="43" t="str">
        <f aca="false">IF(OR(AI104="",INDEX($I:$I,104)="Yes"),"",1)</f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customFormat="false" ht="21.75" hidden="false" customHeight="true" outlineLevel="0" collapsed="false">
      <c r="A105" s="1"/>
      <c r="B105" s="113" t="str">
        <f aca="false">IF(AI105="","",COUNT($AI$7:AI105))</f>
        <v/>
      </c>
      <c r="C105" s="114"/>
      <c r="D105" s="114"/>
      <c r="E105" s="114"/>
      <c r="F105" s="114"/>
      <c r="G105" s="115"/>
      <c r="H105" s="115"/>
      <c r="I105" s="115"/>
      <c r="J105" s="115"/>
      <c r="K105" s="115"/>
      <c r="L105" s="114"/>
      <c r="M105" s="114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4"/>
      <c r="Y105" s="114"/>
      <c r="Z105" s="115"/>
      <c r="AA105" s="114"/>
      <c r="AB105" s="114"/>
      <c r="AC105" s="115"/>
      <c r="AD105" s="116"/>
      <c r="AE105" s="114"/>
      <c r="AF105" s="114"/>
      <c r="AG105" s="114"/>
      <c r="AH105" s="1"/>
      <c r="AI105" s="95" t="str">
        <f aca="false">IF(INDEX($C:$C,105)&amp;INDEX($D:$D,105)="","",1)</f>
        <v/>
      </c>
      <c r="AJ105" s="95" t="str">
        <f aca="false">IF(OR(AI105="",INDEX($Z:$Z,105)="",INDEX($U:$U,105)="Declined"),"",1)</f>
        <v/>
      </c>
      <c r="AK105" s="95" t="str">
        <f aca="false">IF(AJ105="","",INDEX($Z:$Z,105)&amp;"-"&amp;COUNTIFS($Z$7:Z105,INDEX($Z:$Z,105),$AJ$7:AJ105,1))</f>
        <v/>
      </c>
      <c r="AL105" s="43" t="str">
        <f aca="false">IF(AI105="","",TRIM(INDEX($D:$D,105)&amp;" "&amp;INDEX($C:$C,105))&amp;IF(INDEX($I:$I,105)="Yes"," (child)",""))</f>
        <v/>
      </c>
      <c r="AM105" s="95" t="str">
        <f aca="false">IF(OR(AI105="",INDEX($X:$X,105)="",INDEX($U:$U,105)="Declined"),"",COUNTIFS($X$7:X105,"?*",$U$7:U105,"&lt;&gt;Declined",$AI$7:AI105,1))</f>
        <v/>
      </c>
      <c r="AN105" s="95" t="str">
        <f aca="false">IF(AI105="","",IF(INDEX($L:$L,105)="",1,IF(COUNTIF($L$7:L105,INDEX($L:$L,105))=1,1,"")))</f>
        <v/>
      </c>
      <c r="AO105" s="95" t="str">
        <f aca="false">IF(AN105&lt;&gt;1,"",IF(INDEX($L:$L,105)="",IF(INDEX($S:$S,105)="Yes",1,""),IF(COUNTIFS($L$7:$L$506,INDEX($L:$L,105),$S$7:$S$506,"Yes")&gt;0,1,"")))</f>
        <v/>
      </c>
      <c r="AP105" s="95" t="str">
        <f aca="false">IF(AN105&lt;&gt;1,"",IF(INDEX($L:$L,105)&lt;&gt;"",INDEX($L:$L,105),TRIM(INDEX($D:$D,105)&amp;" "&amp;INDEX($C:$C,105))))</f>
        <v/>
      </c>
      <c r="AQ105" s="43" t="str">
        <f aca="false">IF(OR(AI105="",INDEX($I:$I,105)="Yes"),"",1)</f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customFormat="false" ht="21.75" hidden="false" customHeight="true" outlineLevel="0" collapsed="false">
      <c r="A106" s="1"/>
      <c r="B106" s="113" t="str">
        <f aca="false">IF(AI106="","",COUNT($AI$7:AI106))</f>
        <v/>
      </c>
      <c r="C106" s="114"/>
      <c r="D106" s="114"/>
      <c r="E106" s="114"/>
      <c r="F106" s="114"/>
      <c r="G106" s="115"/>
      <c r="H106" s="115"/>
      <c r="I106" s="115"/>
      <c r="J106" s="115"/>
      <c r="K106" s="115"/>
      <c r="L106" s="114"/>
      <c r="M106" s="114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4"/>
      <c r="Y106" s="114"/>
      <c r="Z106" s="115"/>
      <c r="AA106" s="114"/>
      <c r="AB106" s="114"/>
      <c r="AC106" s="115"/>
      <c r="AD106" s="116"/>
      <c r="AE106" s="114"/>
      <c r="AF106" s="114"/>
      <c r="AG106" s="114"/>
      <c r="AH106" s="1"/>
      <c r="AI106" s="95" t="str">
        <f aca="false">IF(INDEX($C:$C,106)&amp;INDEX($D:$D,106)="","",1)</f>
        <v/>
      </c>
      <c r="AJ106" s="95" t="str">
        <f aca="false">IF(OR(AI106="",INDEX($Z:$Z,106)="",INDEX($U:$U,106)="Declined"),"",1)</f>
        <v/>
      </c>
      <c r="AK106" s="95" t="str">
        <f aca="false">IF(AJ106="","",INDEX($Z:$Z,106)&amp;"-"&amp;COUNTIFS($Z$7:Z106,INDEX($Z:$Z,106),$AJ$7:AJ106,1))</f>
        <v/>
      </c>
      <c r="AL106" s="43" t="str">
        <f aca="false">IF(AI106="","",TRIM(INDEX($D:$D,106)&amp;" "&amp;INDEX($C:$C,106))&amp;IF(INDEX($I:$I,106)="Yes"," (child)",""))</f>
        <v/>
      </c>
      <c r="AM106" s="95" t="str">
        <f aca="false">IF(OR(AI106="",INDEX($X:$X,106)="",INDEX($U:$U,106)="Declined"),"",COUNTIFS($X$7:X106,"?*",$U$7:U106,"&lt;&gt;Declined",$AI$7:AI106,1))</f>
        <v/>
      </c>
      <c r="AN106" s="95" t="str">
        <f aca="false">IF(AI106="","",IF(INDEX($L:$L,106)="",1,IF(COUNTIF($L$7:L106,INDEX($L:$L,106))=1,1,"")))</f>
        <v/>
      </c>
      <c r="AO106" s="95" t="str">
        <f aca="false">IF(AN106&lt;&gt;1,"",IF(INDEX($L:$L,106)="",IF(INDEX($S:$S,106)="Yes",1,""),IF(COUNTIFS($L$7:$L$506,INDEX($L:$L,106),$S$7:$S$506,"Yes")&gt;0,1,"")))</f>
        <v/>
      </c>
      <c r="AP106" s="95" t="str">
        <f aca="false">IF(AN106&lt;&gt;1,"",IF(INDEX($L:$L,106)&lt;&gt;"",INDEX($L:$L,106),TRIM(INDEX($D:$D,106)&amp;" "&amp;INDEX($C:$C,106))))</f>
        <v/>
      </c>
      <c r="AQ106" s="43" t="str">
        <f aca="false">IF(OR(AI106="",INDEX($I:$I,106)="Yes"),"",1)</f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customFormat="false" ht="21.75" hidden="false" customHeight="true" outlineLevel="0" collapsed="false">
      <c r="A107" s="1"/>
      <c r="B107" s="113" t="str">
        <f aca="false">IF(AI107="","",COUNT($AI$7:AI107))</f>
        <v/>
      </c>
      <c r="C107" s="114"/>
      <c r="D107" s="114"/>
      <c r="E107" s="114"/>
      <c r="F107" s="114"/>
      <c r="G107" s="115"/>
      <c r="H107" s="115"/>
      <c r="I107" s="115"/>
      <c r="J107" s="115"/>
      <c r="K107" s="115"/>
      <c r="L107" s="114"/>
      <c r="M107" s="114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4"/>
      <c r="Y107" s="114"/>
      <c r="Z107" s="115"/>
      <c r="AA107" s="114"/>
      <c r="AB107" s="114"/>
      <c r="AC107" s="115"/>
      <c r="AD107" s="116"/>
      <c r="AE107" s="114"/>
      <c r="AF107" s="114"/>
      <c r="AG107" s="114"/>
      <c r="AH107" s="1"/>
      <c r="AI107" s="95" t="str">
        <f aca="false">IF(INDEX($C:$C,107)&amp;INDEX($D:$D,107)="","",1)</f>
        <v/>
      </c>
      <c r="AJ107" s="95" t="str">
        <f aca="false">IF(OR(AI107="",INDEX($Z:$Z,107)="",INDEX($U:$U,107)="Declined"),"",1)</f>
        <v/>
      </c>
      <c r="AK107" s="95" t="str">
        <f aca="false">IF(AJ107="","",INDEX($Z:$Z,107)&amp;"-"&amp;COUNTIFS($Z$7:Z107,INDEX($Z:$Z,107),$AJ$7:AJ107,1))</f>
        <v/>
      </c>
      <c r="AL107" s="43" t="str">
        <f aca="false">IF(AI107="","",TRIM(INDEX($D:$D,107)&amp;" "&amp;INDEX($C:$C,107))&amp;IF(INDEX($I:$I,107)="Yes"," (child)",""))</f>
        <v/>
      </c>
      <c r="AM107" s="95" t="str">
        <f aca="false">IF(OR(AI107="",INDEX($X:$X,107)="",INDEX($U:$U,107)="Declined"),"",COUNTIFS($X$7:X107,"?*",$U$7:U107,"&lt;&gt;Declined",$AI$7:AI107,1))</f>
        <v/>
      </c>
      <c r="AN107" s="95" t="str">
        <f aca="false">IF(AI107="","",IF(INDEX($L:$L,107)="",1,IF(COUNTIF($L$7:L107,INDEX($L:$L,107))=1,1,"")))</f>
        <v/>
      </c>
      <c r="AO107" s="95" t="str">
        <f aca="false">IF(AN107&lt;&gt;1,"",IF(INDEX($L:$L,107)="",IF(INDEX($S:$S,107)="Yes",1,""),IF(COUNTIFS($L$7:$L$506,INDEX($L:$L,107),$S$7:$S$506,"Yes")&gt;0,1,"")))</f>
        <v/>
      </c>
      <c r="AP107" s="95" t="str">
        <f aca="false">IF(AN107&lt;&gt;1,"",IF(INDEX($L:$L,107)&lt;&gt;"",INDEX($L:$L,107),TRIM(INDEX($D:$D,107)&amp;" "&amp;INDEX($C:$C,107))))</f>
        <v/>
      </c>
      <c r="AQ107" s="43" t="str">
        <f aca="false">IF(OR(AI107="",INDEX($I:$I,107)="Yes"),"",1)</f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customFormat="false" ht="21.75" hidden="false" customHeight="true" outlineLevel="0" collapsed="false">
      <c r="A108" s="1"/>
      <c r="B108" s="113" t="str">
        <f aca="false">IF(AI108="","",COUNT($AI$7:AI108))</f>
        <v/>
      </c>
      <c r="C108" s="114"/>
      <c r="D108" s="114"/>
      <c r="E108" s="114"/>
      <c r="F108" s="114"/>
      <c r="G108" s="115"/>
      <c r="H108" s="115"/>
      <c r="I108" s="115"/>
      <c r="J108" s="115"/>
      <c r="K108" s="115"/>
      <c r="L108" s="114"/>
      <c r="M108" s="114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4"/>
      <c r="Y108" s="114"/>
      <c r="Z108" s="115"/>
      <c r="AA108" s="114"/>
      <c r="AB108" s="114"/>
      <c r="AC108" s="115"/>
      <c r="AD108" s="116"/>
      <c r="AE108" s="114"/>
      <c r="AF108" s="114"/>
      <c r="AG108" s="114"/>
      <c r="AH108" s="1"/>
      <c r="AI108" s="95" t="str">
        <f aca="false">IF(INDEX($C:$C,108)&amp;INDEX($D:$D,108)="","",1)</f>
        <v/>
      </c>
      <c r="AJ108" s="95" t="str">
        <f aca="false">IF(OR(AI108="",INDEX($Z:$Z,108)="",INDEX($U:$U,108)="Declined"),"",1)</f>
        <v/>
      </c>
      <c r="AK108" s="95" t="str">
        <f aca="false">IF(AJ108="","",INDEX($Z:$Z,108)&amp;"-"&amp;COUNTIFS($Z$7:Z108,INDEX($Z:$Z,108),$AJ$7:AJ108,1))</f>
        <v/>
      </c>
      <c r="AL108" s="43" t="str">
        <f aca="false">IF(AI108="","",TRIM(INDEX($D:$D,108)&amp;" "&amp;INDEX($C:$C,108))&amp;IF(INDEX($I:$I,108)="Yes"," (child)",""))</f>
        <v/>
      </c>
      <c r="AM108" s="95" t="str">
        <f aca="false">IF(OR(AI108="",INDEX($X:$X,108)="",INDEX($U:$U,108)="Declined"),"",COUNTIFS($X$7:X108,"?*",$U$7:U108,"&lt;&gt;Declined",$AI$7:AI108,1))</f>
        <v/>
      </c>
      <c r="AN108" s="95" t="str">
        <f aca="false">IF(AI108="","",IF(INDEX($L:$L,108)="",1,IF(COUNTIF($L$7:L108,INDEX($L:$L,108))=1,1,"")))</f>
        <v/>
      </c>
      <c r="AO108" s="95" t="str">
        <f aca="false">IF(AN108&lt;&gt;1,"",IF(INDEX($L:$L,108)="",IF(INDEX($S:$S,108)="Yes",1,""),IF(COUNTIFS($L$7:$L$506,INDEX($L:$L,108),$S$7:$S$506,"Yes")&gt;0,1,"")))</f>
        <v/>
      </c>
      <c r="AP108" s="95" t="str">
        <f aca="false">IF(AN108&lt;&gt;1,"",IF(INDEX($L:$L,108)&lt;&gt;"",INDEX($L:$L,108),TRIM(INDEX($D:$D,108)&amp;" "&amp;INDEX($C:$C,108))))</f>
        <v/>
      </c>
      <c r="AQ108" s="43" t="str">
        <f aca="false">IF(OR(AI108="",INDEX($I:$I,108)="Yes"),"",1)</f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customFormat="false" ht="21.75" hidden="false" customHeight="true" outlineLevel="0" collapsed="false">
      <c r="A109" s="1"/>
      <c r="B109" s="113" t="str">
        <f aca="false">IF(AI109="","",COUNT($AI$7:AI109))</f>
        <v/>
      </c>
      <c r="C109" s="114"/>
      <c r="D109" s="114"/>
      <c r="E109" s="114"/>
      <c r="F109" s="114"/>
      <c r="G109" s="115"/>
      <c r="H109" s="115"/>
      <c r="I109" s="115"/>
      <c r="J109" s="115"/>
      <c r="K109" s="115"/>
      <c r="L109" s="114"/>
      <c r="M109" s="114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4"/>
      <c r="Y109" s="114"/>
      <c r="Z109" s="115"/>
      <c r="AA109" s="114"/>
      <c r="AB109" s="114"/>
      <c r="AC109" s="115"/>
      <c r="AD109" s="116"/>
      <c r="AE109" s="114"/>
      <c r="AF109" s="114"/>
      <c r="AG109" s="114"/>
      <c r="AH109" s="1"/>
      <c r="AI109" s="95" t="str">
        <f aca="false">IF(INDEX($C:$C,109)&amp;INDEX($D:$D,109)="","",1)</f>
        <v/>
      </c>
      <c r="AJ109" s="95" t="str">
        <f aca="false">IF(OR(AI109="",INDEX($Z:$Z,109)="",INDEX($U:$U,109)="Declined"),"",1)</f>
        <v/>
      </c>
      <c r="AK109" s="95" t="str">
        <f aca="false">IF(AJ109="","",INDEX($Z:$Z,109)&amp;"-"&amp;COUNTIFS($Z$7:Z109,INDEX($Z:$Z,109),$AJ$7:AJ109,1))</f>
        <v/>
      </c>
      <c r="AL109" s="43" t="str">
        <f aca="false">IF(AI109="","",TRIM(INDEX($D:$D,109)&amp;" "&amp;INDEX($C:$C,109))&amp;IF(INDEX($I:$I,109)="Yes"," (child)",""))</f>
        <v/>
      </c>
      <c r="AM109" s="95" t="str">
        <f aca="false">IF(OR(AI109="",INDEX($X:$X,109)="",INDEX($U:$U,109)="Declined"),"",COUNTIFS($X$7:X109,"?*",$U$7:U109,"&lt;&gt;Declined",$AI$7:AI109,1))</f>
        <v/>
      </c>
      <c r="AN109" s="95" t="str">
        <f aca="false">IF(AI109="","",IF(INDEX($L:$L,109)="",1,IF(COUNTIF($L$7:L109,INDEX($L:$L,109))=1,1,"")))</f>
        <v/>
      </c>
      <c r="AO109" s="95" t="str">
        <f aca="false">IF(AN109&lt;&gt;1,"",IF(INDEX($L:$L,109)="",IF(INDEX($S:$S,109)="Yes",1,""),IF(COUNTIFS($L$7:$L$506,INDEX($L:$L,109),$S$7:$S$506,"Yes")&gt;0,1,"")))</f>
        <v/>
      </c>
      <c r="AP109" s="95" t="str">
        <f aca="false">IF(AN109&lt;&gt;1,"",IF(INDEX($L:$L,109)&lt;&gt;"",INDEX($L:$L,109),TRIM(INDEX($D:$D,109)&amp;" "&amp;INDEX($C:$C,109))))</f>
        <v/>
      </c>
      <c r="AQ109" s="43" t="str">
        <f aca="false">IF(OR(AI109="",INDEX($I:$I,109)="Yes"),"",1)</f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customFormat="false" ht="21.75" hidden="false" customHeight="true" outlineLevel="0" collapsed="false">
      <c r="A110" s="1"/>
      <c r="B110" s="113" t="str">
        <f aca="false">IF(AI110="","",COUNT($AI$7:AI110))</f>
        <v/>
      </c>
      <c r="C110" s="114"/>
      <c r="D110" s="114"/>
      <c r="E110" s="114"/>
      <c r="F110" s="114"/>
      <c r="G110" s="115"/>
      <c r="H110" s="115"/>
      <c r="I110" s="115"/>
      <c r="J110" s="115"/>
      <c r="K110" s="115"/>
      <c r="L110" s="114"/>
      <c r="M110" s="114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4"/>
      <c r="Y110" s="114"/>
      <c r="Z110" s="115"/>
      <c r="AA110" s="114"/>
      <c r="AB110" s="114"/>
      <c r="AC110" s="115"/>
      <c r="AD110" s="116"/>
      <c r="AE110" s="114"/>
      <c r="AF110" s="114"/>
      <c r="AG110" s="114"/>
      <c r="AH110" s="1"/>
      <c r="AI110" s="95" t="str">
        <f aca="false">IF(INDEX($C:$C,110)&amp;INDEX($D:$D,110)="","",1)</f>
        <v/>
      </c>
      <c r="AJ110" s="95" t="str">
        <f aca="false">IF(OR(AI110="",INDEX($Z:$Z,110)="",INDEX($U:$U,110)="Declined"),"",1)</f>
        <v/>
      </c>
      <c r="AK110" s="95" t="str">
        <f aca="false">IF(AJ110="","",INDEX($Z:$Z,110)&amp;"-"&amp;COUNTIFS($Z$7:Z110,INDEX($Z:$Z,110),$AJ$7:AJ110,1))</f>
        <v/>
      </c>
      <c r="AL110" s="43" t="str">
        <f aca="false">IF(AI110="","",TRIM(INDEX($D:$D,110)&amp;" "&amp;INDEX($C:$C,110))&amp;IF(INDEX($I:$I,110)="Yes"," (child)",""))</f>
        <v/>
      </c>
      <c r="AM110" s="95" t="str">
        <f aca="false">IF(OR(AI110="",INDEX($X:$X,110)="",INDEX($U:$U,110)="Declined"),"",COUNTIFS($X$7:X110,"?*",$U$7:U110,"&lt;&gt;Declined",$AI$7:AI110,1))</f>
        <v/>
      </c>
      <c r="AN110" s="95" t="str">
        <f aca="false">IF(AI110="","",IF(INDEX($L:$L,110)="",1,IF(COUNTIF($L$7:L110,INDEX($L:$L,110))=1,1,"")))</f>
        <v/>
      </c>
      <c r="AO110" s="95" t="str">
        <f aca="false">IF(AN110&lt;&gt;1,"",IF(INDEX($L:$L,110)="",IF(INDEX($S:$S,110)="Yes",1,""),IF(COUNTIFS($L$7:$L$506,INDEX($L:$L,110),$S$7:$S$506,"Yes")&gt;0,1,"")))</f>
        <v/>
      </c>
      <c r="AP110" s="95" t="str">
        <f aca="false">IF(AN110&lt;&gt;1,"",IF(INDEX($L:$L,110)&lt;&gt;"",INDEX($L:$L,110),TRIM(INDEX($D:$D,110)&amp;" "&amp;INDEX($C:$C,110))))</f>
        <v/>
      </c>
      <c r="AQ110" s="43" t="str">
        <f aca="false">IF(OR(AI110="",INDEX($I:$I,110)="Yes"),"",1)</f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customFormat="false" ht="21.75" hidden="false" customHeight="true" outlineLevel="0" collapsed="false">
      <c r="A111" s="1"/>
      <c r="B111" s="113" t="str">
        <f aca="false">IF(AI111="","",COUNT($AI$7:AI111))</f>
        <v/>
      </c>
      <c r="C111" s="114"/>
      <c r="D111" s="114"/>
      <c r="E111" s="114"/>
      <c r="F111" s="114"/>
      <c r="G111" s="115"/>
      <c r="H111" s="115"/>
      <c r="I111" s="115"/>
      <c r="J111" s="115"/>
      <c r="K111" s="115"/>
      <c r="L111" s="114"/>
      <c r="M111" s="114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4"/>
      <c r="Y111" s="114"/>
      <c r="Z111" s="115"/>
      <c r="AA111" s="114"/>
      <c r="AB111" s="114"/>
      <c r="AC111" s="115"/>
      <c r="AD111" s="116"/>
      <c r="AE111" s="114"/>
      <c r="AF111" s="114"/>
      <c r="AG111" s="114"/>
      <c r="AH111" s="1"/>
      <c r="AI111" s="95" t="str">
        <f aca="false">IF(INDEX($C:$C,111)&amp;INDEX($D:$D,111)="","",1)</f>
        <v/>
      </c>
      <c r="AJ111" s="95" t="str">
        <f aca="false">IF(OR(AI111="",INDEX($Z:$Z,111)="",INDEX($U:$U,111)="Declined"),"",1)</f>
        <v/>
      </c>
      <c r="AK111" s="95" t="str">
        <f aca="false">IF(AJ111="","",INDEX($Z:$Z,111)&amp;"-"&amp;COUNTIFS($Z$7:Z111,INDEX($Z:$Z,111),$AJ$7:AJ111,1))</f>
        <v/>
      </c>
      <c r="AL111" s="43" t="str">
        <f aca="false">IF(AI111="","",TRIM(INDEX($D:$D,111)&amp;" "&amp;INDEX($C:$C,111))&amp;IF(INDEX($I:$I,111)="Yes"," (child)",""))</f>
        <v/>
      </c>
      <c r="AM111" s="95" t="str">
        <f aca="false">IF(OR(AI111="",INDEX($X:$X,111)="",INDEX($U:$U,111)="Declined"),"",COUNTIFS($X$7:X111,"?*",$U$7:U111,"&lt;&gt;Declined",$AI$7:AI111,1))</f>
        <v/>
      </c>
      <c r="AN111" s="95" t="str">
        <f aca="false">IF(AI111="","",IF(INDEX($L:$L,111)="",1,IF(COUNTIF($L$7:L111,INDEX($L:$L,111))=1,1,"")))</f>
        <v/>
      </c>
      <c r="AO111" s="95" t="str">
        <f aca="false">IF(AN111&lt;&gt;1,"",IF(INDEX($L:$L,111)="",IF(INDEX($S:$S,111)="Yes",1,""),IF(COUNTIFS($L$7:$L$506,INDEX($L:$L,111),$S$7:$S$506,"Yes")&gt;0,1,"")))</f>
        <v/>
      </c>
      <c r="AP111" s="95" t="str">
        <f aca="false">IF(AN111&lt;&gt;1,"",IF(INDEX($L:$L,111)&lt;&gt;"",INDEX($L:$L,111),TRIM(INDEX($D:$D,111)&amp;" "&amp;INDEX($C:$C,111))))</f>
        <v/>
      </c>
      <c r="AQ111" s="43" t="str">
        <f aca="false">IF(OR(AI111="",INDEX($I:$I,111)="Yes"),"",1)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customFormat="false" ht="21.75" hidden="false" customHeight="true" outlineLevel="0" collapsed="false">
      <c r="A112" s="1"/>
      <c r="B112" s="113" t="str">
        <f aca="false">IF(AI112="","",COUNT($AI$7:AI112))</f>
        <v/>
      </c>
      <c r="C112" s="114"/>
      <c r="D112" s="114"/>
      <c r="E112" s="114"/>
      <c r="F112" s="114"/>
      <c r="G112" s="115"/>
      <c r="H112" s="115"/>
      <c r="I112" s="115"/>
      <c r="J112" s="115"/>
      <c r="K112" s="115"/>
      <c r="L112" s="114"/>
      <c r="M112" s="114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4"/>
      <c r="Y112" s="114"/>
      <c r="Z112" s="115"/>
      <c r="AA112" s="114"/>
      <c r="AB112" s="114"/>
      <c r="AC112" s="115"/>
      <c r="AD112" s="116"/>
      <c r="AE112" s="114"/>
      <c r="AF112" s="114"/>
      <c r="AG112" s="114"/>
      <c r="AH112" s="1"/>
      <c r="AI112" s="95" t="str">
        <f aca="false">IF(INDEX($C:$C,112)&amp;INDEX($D:$D,112)="","",1)</f>
        <v/>
      </c>
      <c r="AJ112" s="95" t="str">
        <f aca="false">IF(OR(AI112="",INDEX($Z:$Z,112)="",INDEX($U:$U,112)="Declined"),"",1)</f>
        <v/>
      </c>
      <c r="AK112" s="95" t="str">
        <f aca="false">IF(AJ112="","",INDEX($Z:$Z,112)&amp;"-"&amp;COUNTIFS($Z$7:Z112,INDEX($Z:$Z,112),$AJ$7:AJ112,1))</f>
        <v/>
      </c>
      <c r="AL112" s="43" t="str">
        <f aca="false">IF(AI112="","",TRIM(INDEX($D:$D,112)&amp;" "&amp;INDEX($C:$C,112))&amp;IF(INDEX($I:$I,112)="Yes"," (child)",""))</f>
        <v/>
      </c>
      <c r="AM112" s="95" t="str">
        <f aca="false">IF(OR(AI112="",INDEX($X:$X,112)="",INDEX($U:$U,112)="Declined"),"",COUNTIFS($X$7:X112,"?*",$U$7:U112,"&lt;&gt;Declined",$AI$7:AI112,1))</f>
        <v/>
      </c>
      <c r="AN112" s="95" t="str">
        <f aca="false">IF(AI112="","",IF(INDEX($L:$L,112)="",1,IF(COUNTIF($L$7:L112,INDEX($L:$L,112))=1,1,"")))</f>
        <v/>
      </c>
      <c r="AO112" s="95" t="str">
        <f aca="false">IF(AN112&lt;&gt;1,"",IF(INDEX($L:$L,112)="",IF(INDEX($S:$S,112)="Yes",1,""),IF(COUNTIFS($L$7:$L$506,INDEX($L:$L,112),$S$7:$S$506,"Yes")&gt;0,1,"")))</f>
        <v/>
      </c>
      <c r="AP112" s="95" t="str">
        <f aca="false">IF(AN112&lt;&gt;1,"",IF(INDEX($L:$L,112)&lt;&gt;"",INDEX($L:$L,112),TRIM(INDEX($D:$D,112)&amp;" "&amp;INDEX($C:$C,112))))</f>
        <v/>
      </c>
      <c r="AQ112" s="43" t="str">
        <f aca="false">IF(OR(AI112="",INDEX($I:$I,112)="Yes"),"",1)</f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customFormat="false" ht="21.75" hidden="false" customHeight="true" outlineLevel="0" collapsed="false">
      <c r="A113" s="1"/>
      <c r="B113" s="113" t="str">
        <f aca="false">IF(AI113="","",COUNT($AI$7:AI113))</f>
        <v/>
      </c>
      <c r="C113" s="114"/>
      <c r="D113" s="114"/>
      <c r="E113" s="114"/>
      <c r="F113" s="114"/>
      <c r="G113" s="115"/>
      <c r="H113" s="115"/>
      <c r="I113" s="115"/>
      <c r="J113" s="115"/>
      <c r="K113" s="115"/>
      <c r="L113" s="114"/>
      <c r="M113" s="114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4"/>
      <c r="Y113" s="114"/>
      <c r="Z113" s="115"/>
      <c r="AA113" s="114"/>
      <c r="AB113" s="114"/>
      <c r="AC113" s="115"/>
      <c r="AD113" s="116"/>
      <c r="AE113" s="114"/>
      <c r="AF113" s="114"/>
      <c r="AG113" s="114"/>
      <c r="AH113" s="1"/>
      <c r="AI113" s="95" t="str">
        <f aca="false">IF(INDEX($C:$C,113)&amp;INDEX($D:$D,113)="","",1)</f>
        <v/>
      </c>
      <c r="AJ113" s="95" t="str">
        <f aca="false">IF(OR(AI113="",INDEX($Z:$Z,113)="",INDEX($U:$U,113)="Declined"),"",1)</f>
        <v/>
      </c>
      <c r="AK113" s="95" t="str">
        <f aca="false">IF(AJ113="","",INDEX($Z:$Z,113)&amp;"-"&amp;COUNTIFS($Z$7:Z113,INDEX($Z:$Z,113),$AJ$7:AJ113,1))</f>
        <v/>
      </c>
      <c r="AL113" s="43" t="str">
        <f aca="false">IF(AI113="","",TRIM(INDEX($D:$D,113)&amp;" "&amp;INDEX($C:$C,113))&amp;IF(INDEX($I:$I,113)="Yes"," (child)",""))</f>
        <v/>
      </c>
      <c r="AM113" s="95" t="str">
        <f aca="false">IF(OR(AI113="",INDEX($X:$X,113)="",INDEX($U:$U,113)="Declined"),"",COUNTIFS($X$7:X113,"?*",$U$7:U113,"&lt;&gt;Declined",$AI$7:AI113,1))</f>
        <v/>
      </c>
      <c r="AN113" s="95" t="str">
        <f aca="false">IF(AI113="","",IF(INDEX($L:$L,113)="",1,IF(COUNTIF($L$7:L113,INDEX($L:$L,113))=1,1,"")))</f>
        <v/>
      </c>
      <c r="AO113" s="95" t="str">
        <f aca="false">IF(AN113&lt;&gt;1,"",IF(INDEX($L:$L,113)="",IF(INDEX($S:$S,113)="Yes",1,""),IF(COUNTIFS($L$7:$L$506,INDEX($L:$L,113),$S$7:$S$506,"Yes")&gt;0,1,"")))</f>
        <v/>
      </c>
      <c r="AP113" s="95" t="str">
        <f aca="false">IF(AN113&lt;&gt;1,"",IF(INDEX($L:$L,113)&lt;&gt;"",INDEX($L:$L,113),TRIM(INDEX($D:$D,113)&amp;" "&amp;INDEX($C:$C,113))))</f>
        <v/>
      </c>
      <c r="AQ113" s="43" t="str">
        <f aca="false">IF(OR(AI113="",INDEX($I:$I,113)="Yes"),"",1)</f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customFormat="false" ht="21.75" hidden="false" customHeight="true" outlineLevel="0" collapsed="false">
      <c r="A114" s="1"/>
      <c r="B114" s="113" t="str">
        <f aca="false">IF(AI114="","",COUNT($AI$7:AI114))</f>
        <v/>
      </c>
      <c r="C114" s="114"/>
      <c r="D114" s="114"/>
      <c r="E114" s="114"/>
      <c r="F114" s="114"/>
      <c r="G114" s="115"/>
      <c r="H114" s="115"/>
      <c r="I114" s="115"/>
      <c r="J114" s="115"/>
      <c r="K114" s="115"/>
      <c r="L114" s="114"/>
      <c r="M114" s="114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4"/>
      <c r="Y114" s="114"/>
      <c r="Z114" s="115"/>
      <c r="AA114" s="114"/>
      <c r="AB114" s="114"/>
      <c r="AC114" s="115"/>
      <c r="AD114" s="116"/>
      <c r="AE114" s="114"/>
      <c r="AF114" s="114"/>
      <c r="AG114" s="114"/>
      <c r="AH114" s="1"/>
      <c r="AI114" s="95" t="str">
        <f aca="false">IF(INDEX($C:$C,114)&amp;INDEX($D:$D,114)="","",1)</f>
        <v/>
      </c>
      <c r="AJ114" s="95" t="str">
        <f aca="false">IF(OR(AI114="",INDEX($Z:$Z,114)="",INDEX($U:$U,114)="Declined"),"",1)</f>
        <v/>
      </c>
      <c r="AK114" s="95" t="str">
        <f aca="false">IF(AJ114="","",INDEX($Z:$Z,114)&amp;"-"&amp;COUNTIFS($Z$7:Z114,INDEX($Z:$Z,114),$AJ$7:AJ114,1))</f>
        <v/>
      </c>
      <c r="AL114" s="43" t="str">
        <f aca="false">IF(AI114="","",TRIM(INDEX($D:$D,114)&amp;" "&amp;INDEX($C:$C,114))&amp;IF(INDEX($I:$I,114)="Yes"," (child)",""))</f>
        <v/>
      </c>
      <c r="AM114" s="95" t="str">
        <f aca="false">IF(OR(AI114="",INDEX($X:$X,114)="",INDEX($U:$U,114)="Declined"),"",COUNTIFS($X$7:X114,"?*",$U$7:U114,"&lt;&gt;Declined",$AI$7:AI114,1))</f>
        <v/>
      </c>
      <c r="AN114" s="95" t="str">
        <f aca="false">IF(AI114="","",IF(INDEX($L:$L,114)="",1,IF(COUNTIF($L$7:L114,INDEX($L:$L,114))=1,1,"")))</f>
        <v/>
      </c>
      <c r="AO114" s="95" t="str">
        <f aca="false">IF(AN114&lt;&gt;1,"",IF(INDEX($L:$L,114)="",IF(INDEX($S:$S,114)="Yes",1,""),IF(COUNTIFS($L$7:$L$506,INDEX($L:$L,114),$S$7:$S$506,"Yes")&gt;0,1,"")))</f>
        <v/>
      </c>
      <c r="AP114" s="95" t="str">
        <f aca="false">IF(AN114&lt;&gt;1,"",IF(INDEX($L:$L,114)&lt;&gt;"",INDEX($L:$L,114),TRIM(INDEX($D:$D,114)&amp;" "&amp;INDEX($C:$C,114))))</f>
        <v/>
      </c>
      <c r="AQ114" s="43" t="str">
        <f aca="false">IF(OR(AI114="",INDEX($I:$I,114)="Yes"),"",1)</f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customFormat="false" ht="21.75" hidden="false" customHeight="true" outlineLevel="0" collapsed="false">
      <c r="A115" s="1"/>
      <c r="B115" s="113" t="str">
        <f aca="false">IF(AI115="","",COUNT($AI$7:AI115))</f>
        <v/>
      </c>
      <c r="C115" s="114"/>
      <c r="D115" s="114"/>
      <c r="E115" s="114"/>
      <c r="F115" s="114"/>
      <c r="G115" s="115"/>
      <c r="H115" s="115"/>
      <c r="I115" s="115"/>
      <c r="J115" s="115"/>
      <c r="K115" s="115"/>
      <c r="L115" s="114"/>
      <c r="M115" s="114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4"/>
      <c r="Y115" s="114"/>
      <c r="Z115" s="115"/>
      <c r="AA115" s="114"/>
      <c r="AB115" s="114"/>
      <c r="AC115" s="115"/>
      <c r="AD115" s="116"/>
      <c r="AE115" s="114"/>
      <c r="AF115" s="114"/>
      <c r="AG115" s="114"/>
      <c r="AH115" s="1"/>
      <c r="AI115" s="95" t="str">
        <f aca="false">IF(INDEX($C:$C,115)&amp;INDEX($D:$D,115)="","",1)</f>
        <v/>
      </c>
      <c r="AJ115" s="95" t="str">
        <f aca="false">IF(OR(AI115="",INDEX($Z:$Z,115)="",INDEX($U:$U,115)="Declined"),"",1)</f>
        <v/>
      </c>
      <c r="AK115" s="95" t="str">
        <f aca="false">IF(AJ115="","",INDEX($Z:$Z,115)&amp;"-"&amp;COUNTIFS($Z$7:Z115,INDEX($Z:$Z,115),$AJ$7:AJ115,1))</f>
        <v/>
      </c>
      <c r="AL115" s="43" t="str">
        <f aca="false">IF(AI115="","",TRIM(INDEX($D:$D,115)&amp;" "&amp;INDEX($C:$C,115))&amp;IF(INDEX($I:$I,115)="Yes"," (child)",""))</f>
        <v/>
      </c>
      <c r="AM115" s="95" t="str">
        <f aca="false">IF(OR(AI115="",INDEX($X:$X,115)="",INDEX($U:$U,115)="Declined"),"",COUNTIFS($X$7:X115,"?*",$U$7:U115,"&lt;&gt;Declined",$AI$7:AI115,1))</f>
        <v/>
      </c>
      <c r="AN115" s="95" t="str">
        <f aca="false">IF(AI115="","",IF(INDEX($L:$L,115)="",1,IF(COUNTIF($L$7:L115,INDEX($L:$L,115))=1,1,"")))</f>
        <v/>
      </c>
      <c r="AO115" s="95" t="str">
        <f aca="false">IF(AN115&lt;&gt;1,"",IF(INDEX($L:$L,115)="",IF(INDEX($S:$S,115)="Yes",1,""),IF(COUNTIFS($L$7:$L$506,INDEX($L:$L,115),$S$7:$S$506,"Yes")&gt;0,1,"")))</f>
        <v/>
      </c>
      <c r="AP115" s="95" t="str">
        <f aca="false">IF(AN115&lt;&gt;1,"",IF(INDEX($L:$L,115)&lt;&gt;"",INDEX($L:$L,115),TRIM(INDEX($D:$D,115)&amp;" "&amp;INDEX($C:$C,115))))</f>
        <v/>
      </c>
      <c r="AQ115" s="43" t="str">
        <f aca="false">IF(OR(AI115="",INDEX($I:$I,115)="Yes"),"",1)</f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customFormat="false" ht="21.75" hidden="false" customHeight="true" outlineLevel="0" collapsed="false">
      <c r="A116" s="1"/>
      <c r="B116" s="113" t="str">
        <f aca="false">IF(AI116="","",COUNT($AI$7:AI116))</f>
        <v/>
      </c>
      <c r="C116" s="114"/>
      <c r="D116" s="114"/>
      <c r="E116" s="114"/>
      <c r="F116" s="114"/>
      <c r="G116" s="115"/>
      <c r="H116" s="115"/>
      <c r="I116" s="115"/>
      <c r="J116" s="115"/>
      <c r="K116" s="115"/>
      <c r="L116" s="114"/>
      <c r="M116" s="114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4"/>
      <c r="Y116" s="114"/>
      <c r="Z116" s="115"/>
      <c r="AA116" s="114"/>
      <c r="AB116" s="114"/>
      <c r="AC116" s="115"/>
      <c r="AD116" s="116"/>
      <c r="AE116" s="114"/>
      <c r="AF116" s="114"/>
      <c r="AG116" s="114"/>
      <c r="AH116" s="1"/>
      <c r="AI116" s="95" t="str">
        <f aca="false">IF(INDEX($C:$C,116)&amp;INDEX($D:$D,116)="","",1)</f>
        <v/>
      </c>
      <c r="AJ116" s="95" t="str">
        <f aca="false">IF(OR(AI116="",INDEX($Z:$Z,116)="",INDEX($U:$U,116)="Declined"),"",1)</f>
        <v/>
      </c>
      <c r="AK116" s="95" t="str">
        <f aca="false">IF(AJ116="","",INDEX($Z:$Z,116)&amp;"-"&amp;COUNTIFS($Z$7:Z116,INDEX($Z:$Z,116),$AJ$7:AJ116,1))</f>
        <v/>
      </c>
      <c r="AL116" s="43" t="str">
        <f aca="false">IF(AI116="","",TRIM(INDEX($D:$D,116)&amp;" "&amp;INDEX($C:$C,116))&amp;IF(INDEX($I:$I,116)="Yes"," (child)",""))</f>
        <v/>
      </c>
      <c r="AM116" s="95" t="str">
        <f aca="false">IF(OR(AI116="",INDEX($X:$X,116)="",INDEX($U:$U,116)="Declined"),"",COUNTIFS($X$7:X116,"?*",$U$7:U116,"&lt;&gt;Declined",$AI$7:AI116,1))</f>
        <v/>
      </c>
      <c r="AN116" s="95" t="str">
        <f aca="false">IF(AI116="","",IF(INDEX($L:$L,116)="",1,IF(COUNTIF($L$7:L116,INDEX($L:$L,116))=1,1,"")))</f>
        <v/>
      </c>
      <c r="AO116" s="95" t="str">
        <f aca="false">IF(AN116&lt;&gt;1,"",IF(INDEX($L:$L,116)="",IF(INDEX($S:$S,116)="Yes",1,""),IF(COUNTIFS($L$7:$L$506,INDEX($L:$L,116),$S$7:$S$506,"Yes")&gt;0,1,"")))</f>
        <v/>
      </c>
      <c r="AP116" s="95" t="str">
        <f aca="false">IF(AN116&lt;&gt;1,"",IF(INDEX($L:$L,116)&lt;&gt;"",INDEX($L:$L,116),TRIM(INDEX($D:$D,116)&amp;" "&amp;INDEX($C:$C,116))))</f>
        <v/>
      </c>
      <c r="AQ116" s="43" t="str">
        <f aca="false">IF(OR(AI116="",INDEX($I:$I,116)="Yes"),"",1)</f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customFormat="false" ht="21.75" hidden="false" customHeight="true" outlineLevel="0" collapsed="false">
      <c r="A117" s="1"/>
      <c r="B117" s="113" t="str">
        <f aca="false">IF(AI117="","",COUNT($AI$7:AI117))</f>
        <v/>
      </c>
      <c r="C117" s="114"/>
      <c r="D117" s="114"/>
      <c r="E117" s="114"/>
      <c r="F117" s="114"/>
      <c r="G117" s="115"/>
      <c r="H117" s="115"/>
      <c r="I117" s="115"/>
      <c r="J117" s="115"/>
      <c r="K117" s="115"/>
      <c r="L117" s="114"/>
      <c r="M117" s="114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4"/>
      <c r="Y117" s="114"/>
      <c r="Z117" s="115"/>
      <c r="AA117" s="114"/>
      <c r="AB117" s="114"/>
      <c r="AC117" s="115"/>
      <c r="AD117" s="116"/>
      <c r="AE117" s="114"/>
      <c r="AF117" s="114"/>
      <c r="AG117" s="114"/>
      <c r="AH117" s="1"/>
      <c r="AI117" s="95" t="str">
        <f aca="false">IF(INDEX($C:$C,117)&amp;INDEX($D:$D,117)="","",1)</f>
        <v/>
      </c>
      <c r="AJ117" s="95" t="str">
        <f aca="false">IF(OR(AI117="",INDEX($Z:$Z,117)="",INDEX($U:$U,117)="Declined"),"",1)</f>
        <v/>
      </c>
      <c r="AK117" s="95" t="str">
        <f aca="false">IF(AJ117="","",INDEX($Z:$Z,117)&amp;"-"&amp;COUNTIFS($Z$7:Z117,INDEX($Z:$Z,117),$AJ$7:AJ117,1))</f>
        <v/>
      </c>
      <c r="AL117" s="43" t="str">
        <f aca="false">IF(AI117="","",TRIM(INDEX($D:$D,117)&amp;" "&amp;INDEX($C:$C,117))&amp;IF(INDEX($I:$I,117)="Yes"," (child)",""))</f>
        <v/>
      </c>
      <c r="AM117" s="95" t="str">
        <f aca="false">IF(OR(AI117="",INDEX($X:$X,117)="",INDEX($U:$U,117)="Declined"),"",COUNTIFS($X$7:X117,"?*",$U$7:U117,"&lt;&gt;Declined",$AI$7:AI117,1))</f>
        <v/>
      </c>
      <c r="AN117" s="95" t="str">
        <f aca="false">IF(AI117="","",IF(INDEX($L:$L,117)="",1,IF(COUNTIF($L$7:L117,INDEX($L:$L,117))=1,1,"")))</f>
        <v/>
      </c>
      <c r="AO117" s="95" t="str">
        <f aca="false">IF(AN117&lt;&gt;1,"",IF(INDEX($L:$L,117)="",IF(INDEX($S:$S,117)="Yes",1,""),IF(COUNTIFS($L$7:$L$506,INDEX($L:$L,117),$S$7:$S$506,"Yes")&gt;0,1,"")))</f>
        <v/>
      </c>
      <c r="AP117" s="95" t="str">
        <f aca="false">IF(AN117&lt;&gt;1,"",IF(INDEX($L:$L,117)&lt;&gt;"",INDEX($L:$L,117),TRIM(INDEX($D:$D,117)&amp;" "&amp;INDEX($C:$C,117))))</f>
        <v/>
      </c>
      <c r="AQ117" s="43" t="str">
        <f aca="false">IF(OR(AI117="",INDEX($I:$I,117)="Yes"),"",1)</f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customFormat="false" ht="21.75" hidden="false" customHeight="true" outlineLevel="0" collapsed="false">
      <c r="A118" s="1"/>
      <c r="B118" s="113" t="str">
        <f aca="false">IF(AI118="","",COUNT($AI$7:AI118))</f>
        <v/>
      </c>
      <c r="C118" s="114"/>
      <c r="D118" s="114"/>
      <c r="E118" s="114"/>
      <c r="F118" s="114"/>
      <c r="G118" s="115"/>
      <c r="H118" s="115"/>
      <c r="I118" s="115"/>
      <c r="J118" s="115"/>
      <c r="K118" s="115"/>
      <c r="L118" s="114"/>
      <c r="M118" s="114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4"/>
      <c r="Y118" s="114"/>
      <c r="Z118" s="115"/>
      <c r="AA118" s="114"/>
      <c r="AB118" s="114"/>
      <c r="AC118" s="115"/>
      <c r="AD118" s="116"/>
      <c r="AE118" s="114"/>
      <c r="AF118" s="114"/>
      <c r="AG118" s="114"/>
      <c r="AH118" s="1"/>
      <c r="AI118" s="95" t="str">
        <f aca="false">IF(INDEX($C:$C,118)&amp;INDEX($D:$D,118)="","",1)</f>
        <v/>
      </c>
      <c r="AJ118" s="95" t="str">
        <f aca="false">IF(OR(AI118="",INDEX($Z:$Z,118)="",INDEX($U:$U,118)="Declined"),"",1)</f>
        <v/>
      </c>
      <c r="AK118" s="95" t="str">
        <f aca="false">IF(AJ118="","",INDEX($Z:$Z,118)&amp;"-"&amp;COUNTIFS($Z$7:Z118,INDEX($Z:$Z,118),$AJ$7:AJ118,1))</f>
        <v/>
      </c>
      <c r="AL118" s="43" t="str">
        <f aca="false">IF(AI118="","",TRIM(INDEX($D:$D,118)&amp;" "&amp;INDEX($C:$C,118))&amp;IF(INDEX($I:$I,118)="Yes"," (child)",""))</f>
        <v/>
      </c>
      <c r="AM118" s="95" t="str">
        <f aca="false">IF(OR(AI118="",INDEX($X:$X,118)="",INDEX($U:$U,118)="Declined"),"",COUNTIFS($X$7:X118,"?*",$U$7:U118,"&lt;&gt;Declined",$AI$7:AI118,1))</f>
        <v/>
      </c>
      <c r="AN118" s="95" t="str">
        <f aca="false">IF(AI118="","",IF(INDEX($L:$L,118)="",1,IF(COUNTIF($L$7:L118,INDEX($L:$L,118))=1,1,"")))</f>
        <v/>
      </c>
      <c r="AO118" s="95" t="str">
        <f aca="false">IF(AN118&lt;&gt;1,"",IF(INDEX($L:$L,118)="",IF(INDEX($S:$S,118)="Yes",1,""),IF(COUNTIFS($L$7:$L$506,INDEX($L:$L,118),$S$7:$S$506,"Yes")&gt;0,1,"")))</f>
        <v/>
      </c>
      <c r="AP118" s="95" t="str">
        <f aca="false">IF(AN118&lt;&gt;1,"",IF(INDEX($L:$L,118)&lt;&gt;"",INDEX($L:$L,118),TRIM(INDEX($D:$D,118)&amp;" "&amp;INDEX($C:$C,118))))</f>
        <v/>
      </c>
      <c r="AQ118" s="43" t="str">
        <f aca="false">IF(OR(AI118="",INDEX($I:$I,118)="Yes"),"",1)</f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customFormat="false" ht="21.75" hidden="false" customHeight="true" outlineLevel="0" collapsed="false">
      <c r="A119" s="1"/>
      <c r="B119" s="113" t="str">
        <f aca="false">IF(AI119="","",COUNT($AI$7:AI119))</f>
        <v/>
      </c>
      <c r="C119" s="114"/>
      <c r="D119" s="114"/>
      <c r="E119" s="114"/>
      <c r="F119" s="114"/>
      <c r="G119" s="115"/>
      <c r="H119" s="115"/>
      <c r="I119" s="115"/>
      <c r="J119" s="115"/>
      <c r="K119" s="115"/>
      <c r="L119" s="114"/>
      <c r="M119" s="114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4"/>
      <c r="Y119" s="114"/>
      <c r="Z119" s="115"/>
      <c r="AA119" s="114"/>
      <c r="AB119" s="114"/>
      <c r="AC119" s="115"/>
      <c r="AD119" s="116"/>
      <c r="AE119" s="114"/>
      <c r="AF119" s="114"/>
      <c r="AG119" s="114"/>
      <c r="AH119" s="1"/>
      <c r="AI119" s="95" t="str">
        <f aca="false">IF(INDEX($C:$C,119)&amp;INDEX($D:$D,119)="","",1)</f>
        <v/>
      </c>
      <c r="AJ119" s="95" t="str">
        <f aca="false">IF(OR(AI119="",INDEX($Z:$Z,119)="",INDEX($U:$U,119)="Declined"),"",1)</f>
        <v/>
      </c>
      <c r="AK119" s="95" t="str">
        <f aca="false">IF(AJ119="","",INDEX($Z:$Z,119)&amp;"-"&amp;COUNTIFS($Z$7:Z119,INDEX($Z:$Z,119),$AJ$7:AJ119,1))</f>
        <v/>
      </c>
      <c r="AL119" s="43" t="str">
        <f aca="false">IF(AI119="","",TRIM(INDEX($D:$D,119)&amp;" "&amp;INDEX($C:$C,119))&amp;IF(INDEX($I:$I,119)="Yes"," (child)",""))</f>
        <v/>
      </c>
      <c r="AM119" s="95" t="str">
        <f aca="false">IF(OR(AI119="",INDEX($X:$X,119)="",INDEX($U:$U,119)="Declined"),"",COUNTIFS($X$7:X119,"?*",$U$7:U119,"&lt;&gt;Declined",$AI$7:AI119,1))</f>
        <v/>
      </c>
      <c r="AN119" s="95" t="str">
        <f aca="false">IF(AI119="","",IF(INDEX($L:$L,119)="",1,IF(COUNTIF($L$7:L119,INDEX($L:$L,119))=1,1,"")))</f>
        <v/>
      </c>
      <c r="AO119" s="95" t="str">
        <f aca="false">IF(AN119&lt;&gt;1,"",IF(INDEX($L:$L,119)="",IF(INDEX($S:$S,119)="Yes",1,""),IF(COUNTIFS($L$7:$L$506,INDEX($L:$L,119),$S$7:$S$506,"Yes")&gt;0,1,"")))</f>
        <v/>
      </c>
      <c r="AP119" s="95" t="str">
        <f aca="false">IF(AN119&lt;&gt;1,"",IF(INDEX($L:$L,119)&lt;&gt;"",INDEX($L:$L,119),TRIM(INDEX($D:$D,119)&amp;" "&amp;INDEX($C:$C,119))))</f>
        <v/>
      </c>
      <c r="AQ119" s="43" t="str">
        <f aca="false">IF(OR(AI119="",INDEX($I:$I,119)="Yes"),"",1)</f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customFormat="false" ht="21.75" hidden="false" customHeight="true" outlineLevel="0" collapsed="false">
      <c r="A120" s="1"/>
      <c r="B120" s="113" t="str">
        <f aca="false">IF(AI120="","",COUNT($AI$7:AI120))</f>
        <v/>
      </c>
      <c r="C120" s="114"/>
      <c r="D120" s="114"/>
      <c r="E120" s="114"/>
      <c r="F120" s="114"/>
      <c r="G120" s="115"/>
      <c r="H120" s="115"/>
      <c r="I120" s="115"/>
      <c r="J120" s="115"/>
      <c r="K120" s="115"/>
      <c r="L120" s="114"/>
      <c r="M120" s="114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4"/>
      <c r="Y120" s="114"/>
      <c r="Z120" s="115"/>
      <c r="AA120" s="114"/>
      <c r="AB120" s="114"/>
      <c r="AC120" s="115"/>
      <c r="AD120" s="116"/>
      <c r="AE120" s="114"/>
      <c r="AF120" s="114"/>
      <c r="AG120" s="114"/>
      <c r="AH120" s="1"/>
      <c r="AI120" s="95" t="str">
        <f aca="false">IF(INDEX($C:$C,120)&amp;INDEX($D:$D,120)="","",1)</f>
        <v/>
      </c>
      <c r="AJ120" s="95" t="str">
        <f aca="false">IF(OR(AI120="",INDEX($Z:$Z,120)="",INDEX($U:$U,120)="Declined"),"",1)</f>
        <v/>
      </c>
      <c r="AK120" s="95" t="str">
        <f aca="false">IF(AJ120="","",INDEX($Z:$Z,120)&amp;"-"&amp;COUNTIFS($Z$7:Z120,INDEX($Z:$Z,120),$AJ$7:AJ120,1))</f>
        <v/>
      </c>
      <c r="AL120" s="43" t="str">
        <f aca="false">IF(AI120="","",TRIM(INDEX($D:$D,120)&amp;" "&amp;INDEX($C:$C,120))&amp;IF(INDEX($I:$I,120)="Yes"," (child)",""))</f>
        <v/>
      </c>
      <c r="AM120" s="95" t="str">
        <f aca="false">IF(OR(AI120="",INDEX($X:$X,120)="",INDEX($U:$U,120)="Declined"),"",COUNTIFS($X$7:X120,"?*",$U$7:U120,"&lt;&gt;Declined",$AI$7:AI120,1))</f>
        <v/>
      </c>
      <c r="AN120" s="95" t="str">
        <f aca="false">IF(AI120="","",IF(INDEX($L:$L,120)="",1,IF(COUNTIF($L$7:L120,INDEX($L:$L,120))=1,1,"")))</f>
        <v/>
      </c>
      <c r="AO120" s="95" t="str">
        <f aca="false">IF(AN120&lt;&gt;1,"",IF(INDEX($L:$L,120)="",IF(INDEX($S:$S,120)="Yes",1,""),IF(COUNTIFS($L$7:$L$506,INDEX($L:$L,120),$S$7:$S$506,"Yes")&gt;0,1,"")))</f>
        <v/>
      </c>
      <c r="AP120" s="95" t="str">
        <f aca="false">IF(AN120&lt;&gt;1,"",IF(INDEX($L:$L,120)&lt;&gt;"",INDEX($L:$L,120),TRIM(INDEX($D:$D,120)&amp;" "&amp;INDEX($C:$C,120))))</f>
        <v/>
      </c>
      <c r="AQ120" s="43" t="str">
        <f aca="false">IF(OR(AI120="",INDEX($I:$I,120)="Yes"),"",1)</f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customFormat="false" ht="21.75" hidden="false" customHeight="true" outlineLevel="0" collapsed="false">
      <c r="A121" s="1"/>
      <c r="B121" s="113" t="str">
        <f aca="false">IF(AI121="","",COUNT($AI$7:AI121))</f>
        <v/>
      </c>
      <c r="C121" s="114"/>
      <c r="D121" s="114"/>
      <c r="E121" s="114"/>
      <c r="F121" s="114"/>
      <c r="G121" s="115"/>
      <c r="H121" s="115"/>
      <c r="I121" s="115"/>
      <c r="J121" s="115"/>
      <c r="K121" s="115"/>
      <c r="L121" s="114"/>
      <c r="M121" s="114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4"/>
      <c r="Y121" s="114"/>
      <c r="Z121" s="115"/>
      <c r="AA121" s="114"/>
      <c r="AB121" s="114"/>
      <c r="AC121" s="115"/>
      <c r="AD121" s="116"/>
      <c r="AE121" s="114"/>
      <c r="AF121" s="114"/>
      <c r="AG121" s="114"/>
      <c r="AH121" s="1"/>
      <c r="AI121" s="95" t="str">
        <f aca="false">IF(INDEX($C:$C,121)&amp;INDEX($D:$D,121)="","",1)</f>
        <v/>
      </c>
      <c r="AJ121" s="95" t="str">
        <f aca="false">IF(OR(AI121="",INDEX($Z:$Z,121)="",INDEX($U:$U,121)="Declined"),"",1)</f>
        <v/>
      </c>
      <c r="AK121" s="95" t="str">
        <f aca="false">IF(AJ121="","",INDEX($Z:$Z,121)&amp;"-"&amp;COUNTIFS($Z$7:Z121,INDEX($Z:$Z,121),$AJ$7:AJ121,1))</f>
        <v/>
      </c>
      <c r="AL121" s="43" t="str">
        <f aca="false">IF(AI121="","",TRIM(INDEX($D:$D,121)&amp;" "&amp;INDEX($C:$C,121))&amp;IF(INDEX($I:$I,121)="Yes"," (child)",""))</f>
        <v/>
      </c>
      <c r="AM121" s="95" t="str">
        <f aca="false">IF(OR(AI121="",INDEX($X:$X,121)="",INDEX($U:$U,121)="Declined"),"",COUNTIFS($X$7:X121,"?*",$U$7:U121,"&lt;&gt;Declined",$AI$7:AI121,1))</f>
        <v/>
      </c>
      <c r="AN121" s="95" t="str">
        <f aca="false">IF(AI121="","",IF(INDEX($L:$L,121)="",1,IF(COUNTIF($L$7:L121,INDEX($L:$L,121))=1,1,"")))</f>
        <v/>
      </c>
      <c r="AO121" s="95" t="str">
        <f aca="false">IF(AN121&lt;&gt;1,"",IF(INDEX($L:$L,121)="",IF(INDEX($S:$S,121)="Yes",1,""),IF(COUNTIFS($L$7:$L$506,INDEX($L:$L,121),$S$7:$S$506,"Yes")&gt;0,1,"")))</f>
        <v/>
      </c>
      <c r="AP121" s="95" t="str">
        <f aca="false">IF(AN121&lt;&gt;1,"",IF(INDEX($L:$L,121)&lt;&gt;"",INDEX($L:$L,121),TRIM(INDEX($D:$D,121)&amp;" "&amp;INDEX($C:$C,121))))</f>
        <v/>
      </c>
      <c r="AQ121" s="43" t="str">
        <f aca="false">IF(OR(AI121="",INDEX($I:$I,121)="Yes"),"",1)</f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customFormat="false" ht="21.75" hidden="false" customHeight="true" outlineLevel="0" collapsed="false">
      <c r="A122" s="1"/>
      <c r="B122" s="113" t="str">
        <f aca="false">IF(AI122="","",COUNT($AI$7:AI122))</f>
        <v/>
      </c>
      <c r="C122" s="114"/>
      <c r="D122" s="114"/>
      <c r="E122" s="114"/>
      <c r="F122" s="114"/>
      <c r="G122" s="115"/>
      <c r="H122" s="115"/>
      <c r="I122" s="115"/>
      <c r="J122" s="115"/>
      <c r="K122" s="115"/>
      <c r="L122" s="114"/>
      <c r="M122" s="114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4"/>
      <c r="Y122" s="114"/>
      <c r="Z122" s="115"/>
      <c r="AA122" s="114"/>
      <c r="AB122" s="114"/>
      <c r="AC122" s="115"/>
      <c r="AD122" s="116"/>
      <c r="AE122" s="114"/>
      <c r="AF122" s="114"/>
      <c r="AG122" s="114"/>
      <c r="AH122" s="1"/>
      <c r="AI122" s="95" t="str">
        <f aca="false">IF(INDEX($C:$C,122)&amp;INDEX($D:$D,122)="","",1)</f>
        <v/>
      </c>
      <c r="AJ122" s="95" t="str">
        <f aca="false">IF(OR(AI122="",INDEX($Z:$Z,122)="",INDEX($U:$U,122)="Declined"),"",1)</f>
        <v/>
      </c>
      <c r="AK122" s="95" t="str">
        <f aca="false">IF(AJ122="","",INDEX($Z:$Z,122)&amp;"-"&amp;COUNTIFS($Z$7:Z122,INDEX($Z:$Z,122),$AJ$7:AJ122,1))</f>
        <v/>
      </c>
      <c r="AL122" s="43" t="str">
        <f aca="false">IF(AI122="","",TRIM(INDEX($D:$D,122)&amp;" "&amp;INDEX($C:$C,122))&amp;IF(INDEX($I:$I,122)="Yes"," (child)",""))</f>
        <v/>
      </c>
      <c r="AM122" s="95" t="str">
        <f aca="false">IF(OR(AI122="",INDEX($X:$X,122)="",INDEX($U:$U,122)="Declined"),"",COUNTIFS($X$7:X122,"?*",$U$7:U122,"&lt;&gt;Declined",$AI$7:AI122,1))</f>
        <v/>
      </c>
      <c r="AN122" s="95" t="str">
        <f aca="false">IF(AI122="","",IF(INDEX($L:$L,122)="",1,IF(COUNTIF($L$7:L122,INDEX($L:$L,122))=1,1,"")))</f>
        <v/>
      </c>
      <c r="AO122" s="95" t="str">
        <f aca="false">IF(AN122&lt;&gt;1,"",IF(INDEX($L:$L,122)="",IF(INDEX($S:$S,122)="Yes",1,""),IF(COUNTIFS($L$7:$L$506,INDEX($L:$L,122),$S$7:$S$506,"Yes")&gt;0,1,"")))</f>
        <v/>
      </c>
      <c r="AP122" s="95" t="str">
        <f aca="false">IF(AN122&lt;&gt;1,"",IF(INDEX($L:$L,122)&lt;&gt;"",INDEX($L:$L,122),TRIM(INDEX($D:$D,122)&amp;" "&amp;INDEX($C:$C,122))))</f>
        <v/>
      </c>
      <c r="AQ122" s="43" t="str">
        <f aca="false">IF(OR(AI122="",INDEX($I:$I,122)="Yes"),"",1)</f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customFormat="false" ht="21.75" hidden="false" customHeight="true" outlineLevel="0" collapsed="false">
      <c r="A123" s="1"/>
      <c r="B123" s="113" t="str">
        <f aca="false">IF(AI123="","",COUNT($AI$7:AI123))</f>
        <v/>
      </c>
      <c r="C123" s="114"/>
      <c r="D123" s="114"/>
      <c r="E123" s="114"/>
      <c r="F123" s="114"/>
      <c r="G123" s="115"/>
      <c r="H123" s="115"/>
      <c r="I123" s="115"/>
      <c r="J123" s="115"/>
      <c r="K123" s="115"/>
      <c r="L123" s="114"/>
      <c r="M123" s="114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4"/>
      <c r="Y123" s="114"/>
      <c r="Z123" s="115"/>
      <c r="AA123" s="114"/>
      <c r="AB123" s="114"/>
      <c r="AC123" s="115"/>
      <c r="AD123" s="116"/>
      <c r="AE123" s="114"/>
      <c r="AF123" s="114"/>
      <c r="AG123" s="114"/>
      <c r="AH123" s="1"/>
      <c r="AI123" s="95" t="str">
        <f aca="false">IF(INDEX($C:$C,123)&amp;INDEX($D:$D,123)="","",1)</f>
        <v/>
      </c>
      <c r="AJ123" s="95" t="str">
        <f aca="false">IF(OR(AI123="",INDEX($Z:$Z,123)="",INDEX($U:$U,123)="Declined"),"",1)</f>
        <v/>
      </c>
      <c r="AK123" s="95" t="str">
        <f aca="false">IF(AJ123="","",INDEX($Z:$Z,123)&amp;"-"&amp;COUNTIFS($Z$7:Z123,INDEX($Z:$Z,123),$AJ$7:AJ123,1))</f>
        <v/>
      </c>
      <c r="AL123" s="43" t="str">
        <f aca="false">IF(AI123="","",TRIM(INDEX($D:$D,123)&amp;" "&amp;INDEX($C:$C,123))&amp;IF(INDEX($I:$I,123)="Yes"," (child)",""))</f>
        <v/>
      </c>
      <c r="AM123" s="95" t="str">
        <f aca="false">IF(OR(AI123="",INDEX($X:$X,123)="",INDEX($U:$U,123)="Declined"),"",COUNTIFS($X$7:X123,"?*",$U$7:U123,"&lt;&gt;Declined",$AI$7:AI123,1))</f>
        <v/>
      </c>
      <c r="AN123" s="95" t="str">
        <f aca="false">IF(AI123="","",IF(INDEX($L:$L,123)="",1,IF(COUNTIF($L$7:L123,INDEX($L:$L,123))=1,1,"")))</f>
        <v/>
      </c>
      <c r="AO123" s="95" t="str">
        <f aca="false">IF(AN123&lt;&gt;1,"",IF(INDEX($L:$L,123)="",IF(INDEX($S:$S,123)="Yes",1,""),IF(COUNTIFS($L$7:$L$506,INDEX($L:$L,123),$S$7:$S$506,"Yes")&gt;0,1,"")))</f>
        <v/>
      </c>
      <c r="AP123" s="95" t="str">
        <f aca="false">IF(AN123&lt;&gt;1,"",IF(INDEX($L:$L,123)&lt;&gt;"",INDEX($L:$L,123),TRIM(INDEX($D:$D,123)&amp;" "&amp;INDEX($C:$C,123))))</f>
        <v/>
      </c>
      <c r="AQ123" s="43" t="str">
        <f aca="false">IF(OR(AI123="",INDEX($I:$I,123)="Yes"),"",1)</f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customFormat="false" ht="21.75" hidden="false" customHeight="true" outlineLevel="0" collapsed="false">
      <c r="A124" s="1"/>
      <c r="B124" s="113" t="str">
        <f aca="false">IF(AI124="","",COUNT($AI$7:AI124))</f>
        <v/>
      </c>
      <c r="C124" s="114"/>
      <c r="D124" s="114"/>
      <c r="E124" s="114"/>
      <c r="F124" s="114"/>
      <c r="G124" s="115"/>
      <c r="H124" s="115"/>
      <c r="I124" s="115"/>
      <c r="J124" s="115"/>
      <c r="K124" s="115"/>
      <c r="L124" s="114"/>
      <c r="M124" s="114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4"/>
      <c r="Y124" s="114"/>
      <c r="Z124" s="115"/>
      <c r="AA124" s="114"/>
      <c r="AB124" s="114"/>
      <c r="AC124" s="115"/>
      <c r="AD124" s="116"/>
      <c r="AE124" s="114"/>
      <c r="AF124" s="114"/>
      <c r="AG124" s="114"/>
      <c r="AH124" s="1"/>
      <c r="AI124" s="95" t="str">
        <f aca="false">IF(INDEX($C:$C,124)&amp;INDEX($D:$D,124)="","",1)</f>
        <v/>
      </c>
      <c r="AJ124" s="95" t="str">
        <f aca="false">IF(OR(AI124="",INDEX($Z:$Z,124)="",INDEX($U:$U,124)="Declined"),"",1)</f>
        <v/>
      </c>
      <c r="AK124" s="95" t="str">
        <f aca="false">IF(AJ124="","",INDEX($Z:$Z,124)&amp;"-"&amp;COUNTIFS($Z$7:Z124,INDEX($Z:$Z,124),$AJ$7:AJ124,1))</f>
        <v/>
      </c>
      <c r="AL124" s="43" t="str">
        <f aca="false">IF(AI124="","",TRIM(INDEX($D:$D,124)&amp;" "&amp;INDEX($C:$C,124))&amp;IF(INDEX($I:$I,124)="Yes"," (child)",""))</f>
        <v/>
      </c>
      <c r="AM124" s="95" t="str">
        <f aca="false">IF(OR(AI124="",INDEX($X:$X,124)="",INDEX($U:$U,124)="Declined"),"",COUNTIFS($X$7:X124,"?*",$U$7:U124,"&lt;&gt;Declined",$AI$7:AI124,1))</f>
        <v/>
      </c>
      <c r="AN124" s="95" t="str">
        <f aca="false">IF(AI124="","",IF(INDEX($L:$L,124)="",1,IF(COUNTIF($L$7:L124,INDEX($L:$L,124))=1,1,"")))</f>
        <v/>
      </c>
      <c r="AO124" s="95" t="str">
        <f aca="false">IF(AN124&lt;&gt;1,"",IF(INDEX($L:$L,124)="",IF(INDEX($S:$S,124)="Yes",1,""),IF(COUNTIFS($L$7:$L$506,INDEX($L:$L,124),$S$7:$S$506,"Yes")&gt;0,1,"")))</f>
        <v/>
      </c>
      <c r="AP124" s="95" t="str">
        <f aca="false">IF(AN124&lt;&gt;1,"",IF(INDEX($L:$L,124)&lt;&gt;"",INDEX($L:$L,124),TRIM(INDEX($D:$D,124)&amp;" "&amp;INDEX($C:$C,124))))</f>
        <v/>
      </c>
      <c r="AQ124" s="43" t="str">
        <f aca="false">IF(OR(AI124="",INDEX($I:$I,124)="Yes"),"",1)</f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customFormat="false" ht="21.75" hidden="false" customHeight="true" outlineLevel="0" collapsed="false">
      <c r="A125" s="1"/>
      <c r="B125" s="113" t="str">
        <f aca="false">IF(AI125="","",COUNT($AI$7:AI125))</f>
        <v/>
      </c>
      <c r="C125" s="114"/>
      <c r="D125" s="114"/>
      <c r="E125" s="114"/>
      <c r="F125" s="114"/>
      <c r="G125" s="115"/>
      <c r="H125" s="115"/>
      <c r="I125" s="115"/>
      <c r="J125" s="115"/>
      <c r="K125" s="115"/>
      <c r="L125" s="114"/>
      <c r="M125" s="114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4"/>
      <c r="Y125" s="114"/>
      <c r="Z125" s="115"/>
      <c r="AA125" s="114"/>
      <c r="AB125" s="114"/>
      <c r="AC125" s="115"/>
      <c r="AD125" s="116"/>
      <c r="AE125" s="114"/>
      <c r="AF125" s="114"/>
      <c r="AG125" s="114"/>
      <c r="AH125" s="1"/>
      <c r="AI125" s="95" t="str">
        <f aca="false">IF(INDEX($C:$C,125)&amp;INDEX($D:$D,125)="","",1)</f>
        <v/>
      </c>
      <c r="AJ125" s="95" t="str">
        <f aca="false">IF(OR(AI125="",INDEX($Z:$Z,125)="",INDEX($U:$U,125)="Declined"),"",1)</f>
        <v/>
      </c>
      <c r="AK125" s="95" t="str">
        <f aca="false">IF(AJ125="","",INDEX($Z:$Z,125)&amp;"-"&amp;COUNTIFS($Z$7:Z125,INDEX($Z:$Z,125),$AJ$7:AJ125,1))</f>
        <v/>
      </c>
      <c r="AL125" s="43" t="str">
        <f aca="false">IF(AI125="","",TRIM(INDEX($D:$D,125)&amp;" "&amp;INDEX($C:$C,125))&amp;IF(INDEX($I:$I,125)="Yes"," (child)",""))</f>
        <v/>
      </c>
      <c r="AM125" s="95" t="str">
        <f aca="false">IF(OR(AI125="",INDEX($X:$X,125)="",INDEX($U:$U,125)="Declined"),"",COUNTIFS($X$7:X125,"?*",$U$7:U125,"&lt;&gt;Declined",$AI$7:AI125,1))</f>
        <v/>
      </c>
      <c r="AN125" s="95" t="str">
        <f aca="false">IF(AI125="","",IF(INDEX($L:$L,125)="",1,IF(COUNTIF($L$7:L125,INDEX($L:$L,125))=1,1,"")))</f>
        <v/>
      </c>
      <c r="AO125" s="95" t="str">
        <f aca="false">IF(AN125&lt;&gt;1,"",IF(INDEX($L:$L,125)="",IF(INDEX($S:$S,125)="Yes",1,""),IF(COUNTIFS($L$7:$L$506,INDEX($L:$L,125),$S$7:$S$506,"Yes")&gt;0,1,"")))</f>
        <v/>
      </c>
      <c r="AP125" s="95" t="str">
        <f aca="false">IF(AN125&lt;&gt;1,"",IF(INDEX($L:$L,125)&lt;&gt;"",INDEX($L:$L,125),TRIM(INDEX($D:$D,125)&amp;" "&amp;INDEX($C:$C,125))))</f>
        <v/>
      </c>
      <c r="AQ125" s="43" t="str">
        <f aca="false">IF(OR(AI125="",INDEX($I:$I,125)="Yes"),"",1)</f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customFormat="false" ht="21.75" hidden="false" customHeight="true" outlineLevel="0" collapsed="false">
      <c r="A126" s="1"/>
      <c r="B126" s="113" t="str">
        <f aca="false">IF(AI126="","",COUNT($AI$7:AI126))</f>
        <v/>
      </c>
      <c r="C126" s="114"/>
      <c r="D126" s="114"/>
      <c r="E126" s="114"/>
      <c r="F126" s="114"/>
      <c r="G126" s="115"/>
      <c r="H126" s="115"/>
      <c r="I126" s="115"/>
      <c r="J126" s="115"/>
      <c r="K126" s="115"/>
      <c r="L126" s="114"/>
      <c r="M126" s="114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4"/>
      <c r="Y126" s="114"/>
      <c r="Z126" s="115"/>
      <c r="AA126" s="114"/>
      <c r="AB126" s="114"/>
      <c r="AC126" s="115"/>
      <c r="AD126" s="116"/>
      <c r="AE126" s="114"/>
      <c r="AF126" s="114"/>
      <c r="AG126" s="114"/>
      <c r="AH126" s="1"/>
      <c r="AI126" s="95" t="str">
        <f aca="false">IF(INDEX($C:$C,126)&amp;INDEX($D:$D,126)="","",1)</f>
        <v/>
      </c>
      <c r="AJ126" s="95" t="str">
        <f aca="false">IF(OR(AI126="",INDEX($Z:$Z,126)="",INDEX($U:$U,126)="Declined"),"",1)</f>
        <v/>
      </c>
      <c r="AK126" s="95" t="str">
        <f aca="false">IF(AJ126="","",INDEX($Z:$Z,126)&amp;"-"&amp;COUNTIFS($Z$7:Z126,INDEX($Z:$Z,126),$AJ$7:AJ126,1))</f>
        <v/>
      </c>
      <c r="AL126" s="43" t="str">
        <f aca="false">IF(AI126="","",TRIM(INDEX($D:$D,126)&amp;" "&amp;INDEX($C:$C,126))&amp;IF(INDEX($I:$I,126)="Yes"," (child)",""))</f>
        <v/>
      </c>
      <c r="AM126" s="95" t="str">
        <f aca="false">IF(OR(AI126="",INDEX($X:$X,126)="",INDEX($U:$U,126)="Declined"),"",COUNTIFS($X$7:X126,"?*",$U$7:U126,"&lt;&gt;Declined",$AI$7:AI126,1))</f>
        <v/>
      </c>
      <c r="AN126" s="95" t="str">
        <f aca="false">IF(AI126="","",IF(INDEX($L:$L,126)="",1,IF(COUNTIF($L$7:L126,INDEX($L:$L,126))=1,1,"")))</f>
        <v/>
      </c>
      <c r="AO126" s="95" t="str">
        <f aca="false">IF(AN126&lt;&gt;1,"",IF(INDEX($L:$L,126)="",IF(INDEX($S:$S,126)="Yes",1,""),IF(COUNTIFS($L$7:$L$506,INDEX($L:$L,126),$S$7:$S$506,"Yes")&gt;0,1,"")))</f>
        <v/>
      </c>
      <c r="AP126" s="95" t="str">
        <f aca="false">IF(AN126&lt;&gt;1,"",IF(INDEX($L:$L,126)&lt;&gt;"",INDEX($L:$L,126),TRIM(INDEX($D:$D,126)&amp;" "&amp;INDEX($C:$C,126))))</f>
        <v/>
      </c>
      <c r="AQ126" s="43" t="str">
        <f aca="false">IF(OR(AI126="",INDEX($I:$I,126)="Yes"),"",1)</f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customFormat="false" ht="21.75" hidden="false" customHeight="true" outlineLevel="0" collapsed="false">
      <c r="A127" s="1"/>
      <c r="B127" s="113" t="str">
        <f aca="false">IF(AI127="","",COUNT($AI$7:AI127))</f>
        <v/>
      </c>
      <c r="C127" s="114"/>
      <c r="D127" s="114"/>
      <c r="E127" s="114"/>
      <c r="F127" s="114"/>
      <c r="G127" s="115"/>
      <c r="H127" s="115"/>
      <c r="I127" s="115"/>
      <c r="J127" s="115"/>
      <c r="K127" s="115"/>
      <c r="L127" s="114"/>
      <c r="M127" s="114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4"/>
      <c r="Y127" s="114"/>
      <c r="Z127" s="115"/>
      <c r="AA127" s="114"/>
      <c r="AB127" s="114"/>
      <c r="AC127" s="115"/>
      <c r="AD127" s="116"/>
      <c r="AE127" s="114"/>
      <c r="AF127" s="114"/>
      <c r="AG127" s="114"/>
      <c r="AH127" s="1"/>
      <c r="AI127" s="95" t="str">
        <f aca="false">IF(INDEX($C:$C,127)&amp;INDEX($D:$D,127)="","",1)</f>
        <v/>
      </c>
      <c r="AJ127" s="95" t="str">
        <f aca="false">IF(OR(AI127="",INDEX($Z:$Z,127)="",INDEX($U:$U,127)="Declined"),"",1)</f>
        <v/>
      </c>
      <c r="AK127" s="95" t="str">
        <f aca="false">IF(AJ127="","",INDEX($Z:$Z,127)&amp;"-"&amp;COUNTIFS($Z$7:Z127,INDEX($Z:$Z,127),$AJ$7:AJ127,1))</f>
        <v/>
      </c>
      <c r="AL127" s="43" t="str">
        <f aca="false">IF(AI127="","",TRIM(INDEX($D:$D,127)&amp;" "&amp;INDEX($C:$C,127))&amp;IF(INDEX($I:$I,127)="Yes"," (child)",""))</f>
        <v/>
      </c>
      <c r="AM127" s="95" t="str">
        <f aca="false">IF(OR(AI127="",INDEX($X:$X,127)="",INDEX($U:$U,127)="Declined"),"",COUNTIFS($X$7:X127,"?*",$U$7:U127,"&lt;&gt;Declined",$AI$7:AI127,1))</f>
        <v/>
      </c>
      <c r="AN127" s="95" t="str">
        <f aca="false">IF(AI127="","",IF(INDEX($L:$L,127)="",1,IF(COUNTIF($L$7:L127,INDEX($L:$L,127))=1,1,"")))</f>
        <v/>
      </c>
      <c r="AO127" s="95" t="str">
        <f aca="false">IF(AN127&lt;&gt;1,"",IF(INDEX($L:$L,127)="",IF(INDEX($S:$S,127)="Yes",1,""),IF(COUNTIFS($L$7:$L$506,INDEX($L:$L,127),$S$7:$S$506,"Yes")&gt;0,1,"")))</f>
        <v/>
      </c>
      <c r="AP127" s="95" t="str">
        <f aca="false">IF(AN127&lt;&gt;1,"",IF(INDEX($L:$L,127)&lt;&gt;"",INDEX($L:$L,127),TRIM(INDEX($D:$D,127)&amp;" "&amp;INDEX($C:$C,127))))</f>
        <v/>
      </c>
      <c r="AQ127" s="43" t="str">
        <f aca="false">IF(OR(AI127="",INDEX($I:$I,127)="Yes"),"",1)</f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customFormat="false" ht="21.75" hidden="false" customHeight="true" outlineLevel="0" collapsed="false">
      <c r="A128" s="1"/>
      <c r="B128" s="113" t="str">
        <f aca="false">IF(AI128="","",COUNT($AI$7:AI128))</f>
        <v/>
      </c>
      <c r="C128" s="114"/>
      <c r="D128" s="114"/>
      <c r="E128" s="114"/>
      <c r="F128" s="114"/>
      <c r="G128" s="115"/>
      <c r="H128" s="115"/>
      <c r="I128" s="115"/>
      <c r="J128" s="115"/>
      <c r="K128" s="115"/>
      <c r="L128" s="114"/>
      <c r="M128" s="114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4"/>
      <c r="Y128" s="114"/>
      <c r="Z128" s="115"/>
      <c r="AA128" s="114"/>
      <c r="AB128" s="114"/>
      <c r="AC128" s="115"/>
      <c r="AD128" s="116"/>
      <c r="AE128" s="114"/>
      <c r="AF128" s="114"/>
      <c r="AG128" s="114"/>
      <c r="AH128" s="1"/>
      <c r="AI128" s="95" t="str">
        <f aca="false">IF(INDEX($C:$C,128)&amp;INDEX($D:$D,128)="","",1)</f>
        <v/>
      </c>
      <c r="AJ128" s="95" t="str">
        <f aca="false">IF(OR(AI128="",INDEX($Z:$Z,128)="",INDEX($U:$U,128)="Declined"),"",1)</f>
        <v/>
      </c>
      <c r="AK128" s="95" t="str">
        <f aca="false">IF(AJ128="","",INDEX($Z:$Z,128)&amp;"-"&amp;COUNTIFS($Z$7:Z128,INDEX($Z:$Z,128),$AJ$7:AJ128,1))</f>
        <v/>
      </c>
      <c r="AL128" s="43" t="str">
        <f aca="false">IF(AI128="","",TRIM(INDEX($D:$D,128)&amp;" "&amp;INDEX($C:$C,128))&amp;IF(INDEX($I:$I,128)="Yes"," (child)",""))</f>
        <v/>
      </c>
      <c r="AM128" s="95" t="str">
        <f aca="false">IF(OR(AI128="",INDEX($X:$X,128)="",INDEX($U:$U,128)="Declined"),"",COUNTIFS($X$7:X128,"?*",$U$7:U128,"&lt;&gt;Declined",$AI$7:AI128,1))</f>
        <v/>
      </c>
      <c r="AN128" s="95" t="str">
        <f aca="false">IF(AI128="","",IF(INDEX($L:$L,128)="",1,IF(COUNTIF($L$7:L128,INDEX($L:$L,128))=1,1,"")))</f>
        <v/>
      </c>
      <c r="AO128" s="95" t="str">
        <f aca="false">IF(AN128&lt;&gt;1,"",IF(INDEX($L:$L,128)="",IF(INDEX($S:$S,128)="Yes",1,""),IF(COUNTIFS($L$7:$L$506,INDEX($L:$L,128),$S$7:$S$506,"Yes")&gt;0,1,"")))</f>
        <v/>
      </c>
      <c r="AP128" s="95" t="str">
        <f aca="false">IF(AN128&lt;&gt;1,"",IF(INDEX($L:$L,128)&lt;&gt;"",INDEX($L:$L,128),TRIM(INDEX($D:$D,128)&amp;" "&amp;INDEX($C:$C,128))))</f>
        <v/>
      </c>
      <c r="AQ128" s="43" t="str">
        <f aca="false">IF(OR(AI128="",INDEX($I:$I,128)="Yes"),"",1)</f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customFormat="false" ht="21.75" hidden="false" customHeight="true" outlineLevel="0" collapsed="false">
      <c r="A129" s="1"/>
      <c r="B129" s="113" t="str">
        <f aca="false">IF(AI129="","",COUNT($AI$7:AI129))</f>
        <v/>
      </c>
      <c r="C129" s="114"/>
      <c r="D129" s="114"/>
      <c r="E129" s="114"/>
      <c r="F129" s="114"/>
      <c r="G129" s="115"/>
      <c r="H129" s="115"/>
      <c r="I129" s="115"/>
      <c r="J129" s="115"/>
      <c r="K129" s="115"/>
      <c r="L129" s="114"/>
      <c r="M129" s="114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4"/>
      <c r="Y129" s="114"/>
      <c r="Z129" s="115"/>
      <c r="AA129" s="114"/>
      <c r="AB129" s="114"/>
      <c r="AC129" s="115"/>
      <c r="AD129" s="116"/>
      <c r="AE129" s="114"/>
      <c r="AF129" s="114"/>
      <c r="AG129" s="114"/>
      <c r="AH129" s="1"/>
      <c r="AI129" s="95" t="str">
        <f aca="false">IF(INDEX($C:$C,129)&amp;INDEX($D:$D,129)="","",1)</f>
        <v/>
      </c>
      <c r="AJ129" s="95" t="str">
        <f aca="false">IF(OR(AI129="",INDEX($Z:$Z,129)="",INDEX($U:$U,129)="Declined"),"",1)</f>
        <v/>
      </c>
      <c r="AK129" s="95" t="str">
        <f aca="false">IF(AJ129="","",INDEX($Z:$Z,129)&amp;"-"&amp;COUNTIFS($Z$7:Z129,INDEX($Z:$Z,129),$AJ$7:AJ129,1))</f>
        <v/>
      </c>
      <c r="AL129" s="43" t="str">
        <f aca="false">IF(AI129="","",TRIM(INDEX($D:$D,129)&amp;" "&amp;INDEX($C:$C,129))&amp;IF(INDEX($I:$I,129)="Yes"," (child)",""))</f>
        <v/>
      </c>
      <c r="AM129" s="95" t="str">
        <f aca="false">IF(OR(AI129="",INDEX($X:$X,129)="",INDEX($U:$U,129)="Declined"),"",COUNTIFS($X$7:X129,"?*",$U$7:U129,"&lt;&gt;Declined",$AI$7:AI129,1))</f>
        <v/>
      </c>
      <c r="AN129" s="95" t="str">
        <f aca="false">IF(AI129="","",IF(INDEX($L:$L,129)="",1,IF(COUNTIF($L$7:L129,INDEX($L:$L,129))=1,1,"")))</f>
        <v/>
      </c>
      <c r="AO129" s="95" t="str">
        <f aca="false">IF(AN129&lt;&gt;1,"",IF(INDEX($L:$L,129)="",IF(INDEX($S:$S,129)="Yes",1,""),IF(COUNTIFS($L$7:$L$506,INDEX($L:$L,129),$S$7:$S$506,"Yes")&gt;0,1,"")))</f>
        <v/>
      </c>
      <c r="AP129" s="95" t="str">
        <f aca="false">IF(AN129&lt;&gt;1,"",IF(INDEX($L:$L,129)&lt;&gt;"",INDEX($L:$L,129),TRIM(INDEX($D:$D,129)&amp;" "&amp;INDEX($C:$C,129))))</f>
        <v/>
      </c>
      <c r="AQ129" s="43" t="str">
        <f aca="false">IF(OR(AI129="",INDEX($I:$I,129)="Yes"),"",1)</f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customFormat="false" ht="21.75" hidden="false" customHeight="true" outlineLevel="0" collapsed="false">
      <c r="A130" s="1"/>
      <c r="B130" s="113" t="str">
        <f aca="false">IF(AI130="","",COUNT($AI$7:AI130))</f>
        <v/>
      </c>
      <c r="C130" s="114"/>
      <c r="D130" s="114"/>
      <c r="E130" s="114"/>
      <c r="F130" s="114"/>
      <c r="G130" s="115"/>
      <c r="H130" s="115"/>
      <c r="I130" s="115"/>
      <c r="J130" s="115"/>
      <c r="K130" s="115"/>
      <c r="L130" s="114"/>
      <c r="M130" s="114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4"/>
      <c r="Y130" s="114"/>
      <c r="Z130" s="115"/>
      <c r="AA130" s="114"/>
      <c r="AB130" s="114"/>
      <c r="AC130" s="115"/>
      <c r="AD130" s="116"/>
      <c r="AE130" s="114"/>
      <c r="AF130" s="114"/>
      <c r="AG130" s="114"/>
      <c r="AH130" s="1"/>
      <c r="AI130" s="95" t="str">
        <f aca="false">IF(INDEX($C:$C,130)&amp;INDEX($D:$D,130)="","",1)</f>
        <v/>
      </c>
      <c r="AJ130" s="95" t="str">
        <f aca="false">IF(OR(AI130="",INDEX($Z:$Z,130)="",INDEX($U:$U,130)="Declined"),"",1)</f>
        <v/>
      </c>
      <c r="AK130" s="95" t="str">
        <f aca="false">IF(AJ130="","",INDEX($Z:$Z,130)&amp;"-"&amp;COUNTIFS($Z$7:Z130,INDEX($Z:$Z,130),$AJ$7:AJ130,1))</f>
        <v/>
      </c>
      <c r="AL130" s="43" t="str">
        <f aca="false">IF(AI130="","",TRIM(INDEX($D:$D,130)&amp;" "&amp;INDEX($C:$C,130))&amp;IF(INDEX($I:$I,130)="Yes"," (child)",""))</f>
        <v/>
      </c>
      <c r="AM130" s="95" t="str">
        <f aca="false">IF(OR(AI130="",INDEX($X:$X,130)="",INDEX($U:$U,130)="Declined"),"",COUNTIFS($X$7:X130,"?*",$U$7:U130,"&lt;&gt;Declined",$AI$7:AI130,1))</f>
        <v/>
      </c>
      <c r="AN130" s="95" t="str">
        <f aca="false">IF(AI130="","",IF(INDEX($L:$L,130)="",1,IF(COUNTIF($L$7:L130,INDEX($L:$L,130))=1,1,"")))</f>
        <v/>
      </c>
      <c r="AO130" s="95" t="str">
        <f aca="false">IF(AN130&lt;&gt;1,"",IF(INDEX($L:$L,130)="",IF(INDEX($S:$S,130)="Yes",1,""),IF(COUNTIFS($L$7:$L$506,INDEX($L:$L,130),$S$7:$S$506,"Yes")&gt;0,1,"")))</f>
        <v/>
      </c>
      <c r="AP130" s="95" t="str">
        <f aca="false">IF(AN130&lt;&gt;1,"",IF(INDEX($L:$L,130)&lt;&gt;"",INDEX($L:$L,130),TRIM(INDEX($D:$D,130)&amp;" "&amp;INDEX($C:$C,130))))</f>
        <v/>
      </c>
      <c r="AQ130" s="43" t="str">
        <f aca="false">IF(OR(AI130="",INDEX($I:$I,130)="Yes"),"",1)</f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customFormat="false" ht="21.75" hidden="false" customHeight="true" outlineLevel="0" collapsed="false">
      <c r="A131" s="1"/>
      <c r="B131" s="113" t="str">
        <f aca="false">IF(AI131="","",COUNT($AI$7:AI131))</f>
        <v/>
      </c>
      <c r="C131" s="114"/>
      <c r="D131" s="114"/>
      <c r="E131" s="114"/>
      <c r="F131" s="114"/>
      <c r="G131" s="115"/>
      <c r="H131" s="115"/>
      <c r="I131" s="115"/>
      <c r="J131" s="115"/>
      <c r="K131" s="115"/>
      <c r="L131" s="114"/>
      <c r="M131" s="114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4"/>
      <c r="Y131" s="114"/>
      <c r="Z131" s="115"/>
      <c r="AA131" s="114"/>
      <c r="AB131" s="114"/>
      <c r="AC131" s="115"/>
      <c r="AD131" s="116"/>
      <c r="AE131" s="114"/>
      <c r="AF131" s="114"/>
      <c r="AG131" s="114"/>
      <c r="AH131" s="1"/>
      <c r="AI131" s="95" t="str">
        <f aca="false">IF(INDEX($C:$C,131)&amp;INDEX($D:$D,131)="","",1)</f>
        <v/>
      </c>
      <c r="AJ131" s="95" t="str">
        <f aca="false">IF(OR(AI131="",INDEX($Z:$Z,131)="",INDEX($U:$U,131)="Declined"),"",1)</f>
        <v/>
      </c>
      <c r="AK131" s="95" t="str">
        <f aca="false">IF(AJ131="","",INDEX($Z:$Z,131)&amp;"-"&amp;COUNTIFS($Z$7:Z131,INDEX($Z:$Z,131),$AJ$7:AJ131,1))</f>
        <v/>
      </c>
      <c r="AL131" s="43" t="str">
        <f aca="false">IF(AI131="","",TRIM(INDEX($D:$D,131)&amp;" "&amp;INDEX($C:$C,131))&amp;IF(INDEX($I:$I,131)="Yes"," (child)",""))</f>
        <v/>
      </c>
      <c r="AM131" s="95" t="str">
        <f aca="false">IF(OR(AI131="",INDEX($X:$X,131)="",INDEX($U:$U,131)="Declined"),"",COUNTIFS($X$7:X131,"?*",$U$7:U131,"&lt;&gt;Declined",$AI$7:AI131,1))</f>
        <v/>
      </c>
      <c r="AN131" s="95" t="str">
        <f aca="false">IF(AI131="","",IF(INDEX($L:$L,131)="",1,IF(COUNTIF($L$7:L131,INDEX($L:$L,131))=1,1,"")))</f>
        <v/>
      </c>
      <c r="AO131" s="95" t="str">
        <f aca="false">IF(AN131&lt;&gt;1,"",IF(INDEX($L:$L,131)="",IF(INDEX($S:$S,131)="Yes",1,""),IF(COUNTIFS($L$7:$L$506,INDEX($L:$L,131),$S$7:$S$506,"Yes")&gt;0,1,"")))</f>
        <v/>
      </c>
      <c r="AP131" s="95" t="str">
        <f aca="false">IF(AN131&lt;&gt;1,"",IF(INDEX($L:$L,131)&lt;&gt;"",INDEX($L:$L,131),TRIM(INDEX($D:$D,131)&amp;" "&amp;INDEX($C:$C,131))))</f>
        <v/>
      </c>
      <c r="AQ131" s="43" t="str">
        <f aca="false">IF(OR(AI131="",INDEX($I:$I,131)="Yes"),"",1)</f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customFormat="false" ht="21.75" hidden="false" customHeight="true" outlineLevel="0" collapsed="false">
      <c r="A132" s="1"/>
      <c r="B132" s="113" t="str">
        <f aca="false">IF(AI132="","",COUNT($AI$7:AI132))</f>
        <v/>
      </c>
      <c r="C132" s="114"/>
      <c r="D132" s="114"/>
      <c r="E132" s="114"/>
      <c r="F132" s="114"/>
      <c r="G132" s="115"/>
      <c r="H132" s="115"/>
      <c r="I132" s="115"/>
      <c r="J132" s="115"/>
      <c r="K132" s="115"/>
      <c r="L132" s="114"/>
      <c r="M132" s="114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4"/>
      <c r="Y132" s="114"/>
      <c r="Z132" s="115"/>
      <c r="AA132" s="114"/>
      <c r="AB132" s="114"/>
      <c r="AC132" s="115"/>
      <c r="AD132" s="116"/>
      <c r="AE132" s="114"/>
      <c r="AF132" s="114"/>
      <c r="AG132" s="114"/>
      <c r="AH132" s="1"/>
      <c r="AI132" s="95" t="str">
        <f aca="false">IF(INDEX($C:$C,132)&amp;INDEX($D:$D,132)="","",1)</f>
        <v/>
      </c>
      <c r="AJ132" s="95" t="str">
        <f aca="false">IF(OR(AI132="",INDEX($Z:$Z,132)="",INDEX($U:$U,132)="Declined"),"",1)</f>
        <v/>
      </c>
      <c r="AK132" s="95" t="str">
        <f aca="false">IF(AJ132="","",INDEX($Z:$Z,132)&amp;"-"&amp;COUNTIFS($Z$7:Z132,INDEX($Z:$Z,132),$AJ$7:AJ132,1))</f>
        <v/>
      </c>
      <c r="AL132" s="43" t="str">
        <f aca="false">IF(AI132="","",TRIM(INDEX($D:$D,132)&amp;" "&amp;INDEX($C:$C,132))&amp;IF(INDEX($I:$I,132)="Yes"," (child)",""))</f>
        <v/>
      </c>
      <c r="AM132" s="95" t="str">
        <f aca="false">IF(OR(AI132="",INDEX($X:$X,132)="",INDEX($U:$U,132)="Declined"),"",COUNTIFS($X$7:X132,"?*",$U$7:U132,"&lt;&gt;Declined",$AI$7:AI132,1))</f>
        <v/>
      </c>
      <c r="AN132" s="95" t="str">
        <f aca="false">IF(AI132="","",IF(INDEX($L:$L,132)="",1,IF(COUNTIF($L$7:L132,INDEX($L:$L,132))=1,1,"")))</f>
        <v/>
      </c>
      <c r="AO132" s="95" t="str">
        <f aca="false">IF(AN132&lt;&gt;1,"",IF(INDEX($L:$L,132)="",IF(INDEX($S:$S,132)="Yes",1,""),IF(COUNTIFS($L$7:$L$506,INDEX($L:$L,132),$S$7:$S$506,"Yes")&gt;0,1,"")))</f>
        <v/>
      </c>
      <c r="AP132" s="95" t="str">
        <f aca="false">IF(AN132&lt;&gt;1,"",IF(INDEX($L:$L,132)&lt;&gt;"",INDEX($L:$L,132),TRIM(INDEX($D:$D,132)&amp;" "&amp;INDEX($C:$C,132))))</f>
        <v/>
      </c>
      <c r="AQ132" s="43" t="str">
        <f aca="false">IF(OR(AI132="",INDEX($I:$I,132)="Yes"),"",1)</f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customFormat="false" ht="21.75" hidden="false" customHeight="true" outlineLevel="0" collapsed="false">
      <c r="A133" s="1"/>
      <c r="B133" s="113" t="str">
        <f aca="false">IF(AI133="","",COUNT($AI$7:AI133))</f>
        <v/>
      </c>
      <c r="C133" s="114"/>
      <c r="D133" s="114"/>
      <c r="E133" s="114"/>
      <c r="F133" s="114"/>
      <c r="G133" s="115"/>
      <c r="H133" s="115"/>
      <c r="I133" s="115"/>
      <c r="J133" s="115"/>
      <c r="K133" s="115"/>
      <c r="L133" s="114"/>
      <c r="M133" s="114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4"/>
      <c r="Y133" s="114"/>
      <c r="Z133" s="115"/>
      <c r="AA133" s="114"/>
      <c r="AB133" s="114"/>
      <c r="AC133" s="115"/>
      <c r="AD133" s="116"/>
      <c r="AE133" s="114"/>
      <c r="AF133" s="114"/>
      <c r="AG133" s="114"/>
      <c r="AH133" s="1"/>
      <c r="AI133" s="95" t="str">
        <f aca="false">IF(INDEX($C:$C,133)&amp;INDEX($D:$D,133)="","",1)</f>
        <v/>
      </c>
      <c r="AJ133" s="95" t="str">
        <f aca="false">IF(OR(AI133="",INDEX($Z:$Z,133)="",INDEX($U:$U,133)="Declined"),"",1)</f>
        <v/>
      </c>
      <c r="AK133" s="95" t="str">
        <f aca="false">IF(AJ133="","",INDEX($Z:$Z,133)&amp;"-"&amp;COUNTIFS($Z$7:Z133,INDEX($Z:$Z,133),$AJ$7:AJ133,1))</f>
        <v/>
      </c>
      <c r="AL133" s="43" t="str">
        <f aca="false">IF(AI133="","",TRIM(INDEX($D:$D,133)&amp;" "&amp;INDEX($C:$C,133))&amp;IF(INDEX($I:$I,133)="Yes"," (child)",""))</f>
        <v/>
      </c>
      <c r="AM133" s="95" t="str">
        <f aca="false">IF(OR(AI133="",INDEX($X:$X,133)="",INDEX($U:$U,133)="Declined"),"",COUNTIFS($X$7:X133,"?*",$U$7:U133,"&lt;&gt;Declined",$AI$7:AI133,1))</f>
        <v/>
      </c>
      <c r="AN133" s="95" t="str">
        <f aca="false">IF(AI133="","",IF(INDEX($L:$L,133)="",1,IF(COUNTIF($L$7:L133,INDEX($L:$L,133))=1,1,"")))</f>
        <v/>
      </c>
      <c r="AO133" s="95" t="str">
        <f aca="false">IF(AN133&lt;&gt;1,"",IF(INDEX($L:$L,133)="",IF(INDEX($S:$S,133)="Yes",1,""),IF(COUNTIFS($L$7:$L$506,INDEX($L:$L,133),$S$7:$S$506,"Yes")&gt;0,1,"")))</f>
        <v/>
      </c>
      <c r="AP133" s="95" t="str">
        <f aca="false">IF(AN133&lt;&gt;1,"",IF(INDEX($L:$L,133)&lt;&gt;"",INDEX($L:$L,133),TRIM(INDEX($D:$D,133)&amp;" "&amp;INDEX($C:$C,133))))</f>
        <v/>
      </c>
      <c r="AQ133" s="43" t="str">
        <f aca="false">IF(OR(AI133="",INDEX($I:$I,133)="Yes"),"",1)</f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customFormat="false" ht="21.75" hidden="false" customHeight="true" outlineLevel="0" collapsed="false">
      <c r="A134" s="1"/>
      <c r="B134" s="113" t="str">
        <f aca="false">IF(AI134="","",COUNT($AI$7:AI134))</f>
        <v/>
      </c>
      <c r="C134" s="114"/>
      <c r="D134" s="114"/>
      <c r="E134" s="114"/>
      <c r="F134" s="114"/>
      <c r="G134" s="115"/>
      <c r="H134" s="115"/>
      <c r="I134" s="115"/>
      <c r="J134" s="115"/>
      <c r="K134" s="115"/>
      <c r="L134" s="114"/>
      <c r="M134" s="114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4"/>
      <c r="Y134" s="114"/>
      <c r="Z134" s="115"/>
      <c r="AA134" s="114"/>
      <c r="AB134" s="114"/>
      <c r="AC134" s="115"/>
      <c r="AD134" s="116"/>
      <c r="AE134" s="114"/>
      <c r="AF134" s="114"/>
      <c r="AG134" s="114"/>
      <c r="AH134" s="1"/>
      <c r="AI134" s="95" t="str">
        <f aca="false">IF(INDEX($C:$C,134)&amp;INDEX($D:$D,134)="","",1)</f>
        <v/>
      </c>
      <c r="AJ134" s="95" t="str">
        <f aca="false">IF(OR(AI134="",INDEX($Z:$Z,134)="",INDEX($U:$U,134)="Declined"),"",1)</f>
        <v/>
      </c>
      <c r="AK134" s="95" t="str">
        <f aca="false">IF(AJ134="","",INDEX($Z:$Z,134)&amp;"-"&amp;COUNTIFS($Z$7:Z134,INDEX($Z:$Z,134),$AJ$7:AJ134,1))</f>
        <v/>
      </c>
      <c r="AL134" s="43" t="str">
        <f aca="false">IF(AI134="","",TRIM(INDEX($D:$D,134)&amp;" "&amp;INDEX($C:$C,134))&amp;IF(INDEX($I:$I,134)="Yes"," (child)",""))</f>
        <v/>
      </c>
      <c r="AM134" s="95" t="str">
        <f aca="false">IF(OR(AI134="",INDEX($X:$X,134)="",INDEX($U:$U,134)="Declined"),"",COUNTIFS($X$7:X134,"?*",$U$7:U134,"&lt;&gt;Declined",$AI$7:AI134,1))</f>
        <v/>
      </c>
      <c r="AN134" s="95" t="str">
        <f aca="false">IF(AI134="","",IF(INDEX($L:$L,134)="",1,IF(COUNTIF($L$7:L134,INDEX($L:$L,134))=1,1,"")))</f>
        <v/>
      </c>
      <c r="AO134" s="95" t="str">
        <f aca="false">IF(AN134&lt;&gt;1,"",IF(INDEX($L:$L,134)="",IF(INDEX($S:$S,134)="Yes",1,""),IF(COUNTIFS($L$7:$L$506,INDEX($L:$L,134),$S$7:$S$506,"Yes")&gt;0,1,"")))</f>
        <v/>
      </c>
      <c r="AP134" s="95" t="str">
        <f aca="false">IF(AN134&lt;&gt;1,"",IF(INDEX($L:$L,134)&lt;&gt;"",INDEX($L:$L,134),TRIM(INDEX($D:$D,134)&amp;" "&amp;INDEX($C:$C,134))))</f>
        <v/>
      </c>
      <c r="AQ134" s="43" t="str">
        <f aca="false">IF(OR(AI134="",INDEX($I:$I,134)="Yes"),"",1)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customFormat="false" ht="21.75" hidden="false" customHeight="true" outlineLevel="0" collapsed="false">
      <c r="A135" s="1"/>
      <c r="B135" s="113" t="str">
        <f aca="false">IF(AI135="","",COUNT($AI$7:AI135))</f>
        <v/>
      </c>
      <c r="C135" s="114"/>
      <c r="D135" s="114"/>
      <c r="E135" s="114"/>
      <c r="F135" s="114"/>
      <c r="G135" s="115"/>
      <c r="H135" s="115"/>
      <c r="I135" s="115"/>
      <c r="J135" s="115"/>
      <c r="K135" s="115"/>
      <c r="L135" s="114"/>
      <c r="M135" s="114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4"/>
      <c r="Y135" s="114"/>
      <c r="Z135" s="115"/>
      <c r="AA135" s="114"/>
      <c r="AB135" s="114"/>
      <c r="AC135" s="115"/>
      <c r="AD135" s="116"/>
      <c r="AE135" s="114"/>
      <c r="AF135" s="114"/>
      <c r="AG135" s="114"/>
      <c r="AH135" s="1"/>
      <c r="AI135" s="95" t="str">
        <f aca="false">IF(INDEX($C:$C,135)&amp;INDEX($D:$D,135)="","",1)</f>
        <v/>
      </c>
      <c r="AJ135" s="95" t="str">
        <f aca="false">IF(OR(AI135="",INDEX($Z:$Z,135)="",INDEX($U:$U,135)="Declined"),"",1)</f>
        <v/>
      </c>
      <c r="AK135" s="95" t="str">
        <f aca="false">IF(AJ135="","",INDEX($Z:$Z,135)&amp;"-"&amp;COUNTIFS($Z$7:Z135,INDEX($Z:$Z,135),$AJ$7:AJ135,1))</f>
        <v/>
      </c>
      <c r="AL135" s="43" t="str">
        <f aca="false">IF(AI135="","",TRIM(INDEX($D:$D,135)&amp;" "&amp;INDEX($C:$C,135))&amp;IF(INDEX($I:$I,135)="Yes"," (child)",""))</f>
        <v/>
      </c>
      <c r="AM135" s="95" t="str">
        <f aca="false">IF(OR(AI135="",INDEX($X:$X,135)="",INDEX($U:$U,135)="Declined"),"",COUNTIFS($X$7:X135,"?*",$U$7:U135,"&lt;&gt;Declined",$AI$7:AI135,1))</f>
        <v/>
      </c>
      <c r="AN135" s="95" t="str">
        <f aca="false">IF(AI135="","",IF(INDEX($L:$L,135)="",1,IF(COUNTIF($L$7:L135,INDEX($L:$L,135))=1,1,"")))</f>
        <v/>
      </c>
      <c r="AO135" s="95" t="str">
        <f aca="false">IF(AN135&lt;&gt;1,"",IF(INDEX($L:$L,135)="",IF(INDEX($S:$S,135)="Yes",1,""),IF(COUNTIFS($L$7:$L$506,INDEX($L:$L,135),$S$7:$S$506,"Yes")&gt;0,1,"")))</f>
        <v/>
      </c>
      <c r="AP135" s="95" t="str">
        <f aca="false">IF(AN135&lt;&gt;1,"",IF(INDEX($L:$L,135)&lt;&gt;"",INDEX($L:$L,135),TRIM(INDEX($D:$D,135)&amp;" "&amp;INDEX($C:$C,135))))</f>
        <v/>
      </c>
      <c r="AQ135" s="43" t="str">
        <f aca="false">IF(OR(AI135="",INDEX($I:$I,135)="Yes"),"",1)</f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customFormat="false" ht="21.75" hidden="false" customHeight="true" outlineLevel="0" collapsed="false">
      <c r="A136" s="1"/>
      <c r="B136" s="113" t="str">
        <f aca="false">IF(AI136="","",COUNT($AI$7:AI136))</f>
        <v/>
      </c>
      <c r="C136" s="114"/>
      <c r="D136" s="114"/>
      <c r="E136" s="114"/>
      <c r="F136" s="114"/>
      <c r="G136" s="115"/>
      <c r="H136" s="115"/>
      <c r="I136" s="115"/>
      <c r="J136" s="115"/>
      <c r="K136" s="115"/>
      <c r="L136" s="114"/>
      <c r="M136" s="114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4"/>
      <c r="Y136" s="114"/>
      <c r="Z136" s="115"/>
      <c r="AA136" s="114"/>
      <c r="AB136" s="114"/>
      <c r="AC136" s="115"/>
      <c r="AD136" s="116"/>
      <c r="AE136" s="114"/>
      <c r="AF136" s="114"/>
      <c r="AG136" s="114"/>
      <c r="AH136" s="1"/>
      <c r="AI136" s="95" t="str">
        <f aca="false">IF(INDEX($C:$C,136)&amp;INDEX($D:$D,136)="","",1)</f>
        <v/>
      </c>
      <c r="AJ136" s="95" t="str">
        <f aca="false">IF(OR(AI136="",INDEX($Z:$Z,136)="",INDEX($U:$U,136)="Declined"),"",1)</f>
        <v/>
      </c>
      <c r="AK136" s="95" t="str">
        <f aca="false">IF(AJ136="","",INDEX($Z:$Z,136)&amp;"-"&amp;COUNTIFS($Z$7:Z136,INDEX($Z:$Z,136),$AJ$7:AJ136,1))</f>
        <v/>
      </c>
      <c r="AL136" s="43" t="str">
        <f aca="false">IF(AI136="","",TRIM(INDEX($D:$D,136)&amp;" "&amp;INDEX($C:$C,136))&amp;IF(INDEX($I:$I,136)="Yes"," (child)",""))</f>
        <v/>
      </c>
      <c r="AM136" s="95" t="str">
        <f aca="false">IF(OR(AI136="",INDEX($X:$X,136)="",INDEX($U:$U,136)="Declined"),"",COUNTIFS($X$7:X136,"?*",$U$7:U136,"&lt;&gt;Declined",$AI$7:AI136,1))</f>
        <v/>
      </c>
      <c r="AN136" s="95" t="str">
        <f aca="false">IF(AI136="","",IF(INDEX($L:$L,136)="",1,IF(COUNTIF($L$7:L136,INDEX($L:$L,136))=1,1,"")))</f>
        <v/>
      </c>
      <c r="AO136" s="95" t="str">
        <f aca="false">IF(AN136&lt;&gt;1,"",IF(INDEX($L:$L,136)="",IF(INDEX($S:$S,136)="Yes",1,""),IF(COUNTIFS($L$7:$L$506,INDEX($L:$L,136),$S$7:$S$506,"Yes")&gt;0,1,"")))</f>
        <v/>
      </c>
      <c r="AP136" s="95" t="str">
        <f aca="false">IF(AN136&lt;&gt;1,"",IF(INDEX($L:$L,136)&lt;&gt;"",INDEX($L:$L,136),TRIM(INDEX($D:$D,136)&amp;" "&amp;INDEX($C:$C,136))))</f>
        <v/>
      </c>
      <c r="AQ136" s="43" t="str">
        <f aca="false">IF(OR(AI136="",INDEX($I:$I,136)="Yes"),"",1)</f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customFormat="false" ht="21.75" hidden="false" customHeight="true" outlineLevel="0" collapsed="false">
      <c r="A137" s="1"/>
      <c r="B137" s="113" t="str">
        <f aca="false">IF(AI137="","",COUNT($AI$7:AI137))</f>
        <v/>
      </c>
      <c r="C137" s="114"/>
      <c r="D137" s="114"/>
      <c r="E137" s="114"/>
      <c r="F137" s="114"/>
      <c r="G137" s="115"/>
      <c r="H137" s="115"/>
      <c r="I137" s="115"/>
      <c r="J137" s="115"/>
      <c r="K137" s="115"/>
      <c r="L137" s="114"/>
      <c r="M137" s="114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4"/>
      <c r="Y137" s="114"/>
      <c r="Z137" s="115"/>
      <c r="AA137" s="114"/>
      <c r="AB137" s="114"/>
      <c r="AC137" s="115"/>
      <c r="AD137" s="116"/>
      <c r="AE137" s="114"/>
      <c r="AF137" s="114"/>
      <c r="AG137" s="114"/>
      <c r="AH137" s="1"/>
      <c r="AI137" s="95" t="str">
        <f aca="false">IF(INDEX($C:$C,137)&amp;INDEX($D:$D,137)="","",1)</f>
        <v/>
      </c>
      <c r="AJ137" s="95" t="str">
        <f aca="false">IF(OR(AI137="",INDEX($Z:$Z,137)="",INDEX($U:$U,137)="Declined"),"",1)</f>
        <v/>
      </c>
      <c r="AK137" s="95" t="str">
        <f aca="false">IF(AJ137="","",INDEX($Z:$Z,137)&amp;"-"&amp;COUNTIFS($Z$7:Z137,INDEX($Z:$Z,137),$AJ$7:AJ137,1))</f>
        <v/>
      </c>
      <c r="AL137" s="43" t="str">
        <f aca="false">IF(AI137="","",TRIM(INDEX($D:$D,137)&amp;" "&amp;INDEX($C:$C,137))&amp;IF(INDEX($I:$I,137)="Yes"," (child)",""))</f>
        <v/>
      </c>
      <c r="AM137" s="95" t="str">
        <f aca="false">IF(OR(AI137="",INDEX($X:$X,137)="",INDEX($U:$U,137)="Declined"),"",COUNTIFS($X$7:X137,"?*",$U$7:U137,"&lt;&gt;Declined",$AI$7:AI137,1))</f>
        <v/>
      </c>
      <c r="AN137" s="95" t="str">
        <f aca="false">IF(AI137="","",IF(INDEX($L:$L,137)="",1,IF(COUNTIF($L$7:L137,INDEX($L:$L,137))=1,1,"")))</f>
        <v/>
      </c>
      <c r="AO137" s="95" t="str">
        <f aca="false">IF(AN137&lt;&gt;1,"",IF(INDEX($L:$L,137)="",IF(INDEX($S:$S,137)="Yes",1,""),IF(COUNTIFS($L$7:$L$506,INDEX($L:$L,137),$S$7:$S$506,"Yes")&gt;0,1,"")))</f>
        <v/>
      </c>
      <c r="AP137" s="95" t="str">
        <f aca="false">IF(AN137&lt;&gt;1,"",IF(INDEX($L:$L,137)&lt;&gt;"",INDEX($L:$L,137),TRIM(INDEX($D:$D,137)&amp;" "&amp;INDEX($C:$C,137))))</f>
        <v/>
      </c>
      <c r="AQ137" s="43" t="str">
        <f aca="false">IF(OR(AI137="",INDEX($I:$I,137)="Yes"),"",1)</f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customFormat="false" ht="21.75" hidden="false" customHeight="true" outlineLevel="0" collapsed="false">
      <c r="A138" s="1"/>
      <c r="B138" s="113" t="str">
        <f aca="false">IF(AI138="","",COUNT($AI$7:AI138))</f>
        <v/>
      </c>
      <c r="C138" s="114"/>
      <c r="D138" s="114"/>
      <c r="E138" s="114"/>
      <c r="F138" s="114"/>
      <c r="G138" s="115"/>
      <c r="H138" s="115"/>
      <c r="I138" s="115"/>
      <c r="J138" s="115"/>
      <c r="K138" s="115"/>
      <c r="L138" s="114"/>
      <c r="M138" s="114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4"/>
      <c r="Y138" s="114"/>
      <c r="Z138" s="115"/>
      <c r="AA138" s="114"/>
      <c r="AB138" s="114"/>
      <c r="AC138" s="115"/>
      <c r="AD138" s="116"/>
      <c r="AE138" s="114"/>
      <c r="AF138" s="114"/>
      <c r="AG138" s="114"/>
      <c r="AH138" s="1"/>
      <c r="AI138" s="95" t="str">
        <f aca="false">IF(INDEX($C:$C,138)&amp;INDEX($D:$D,138)="","",1)</f>
        <v/>
      </c>
      <c r="AJ138" s="95" t="str">
        <f aca="false">IF(OR(AI138="",INDEX($Z:$Z,138)="",INDEX($U:$U,138)="Declined"),"",1)</f>
        <v/>
      </c>
      <c r="AK138" s="95" t="str">
        <f aca="false">IF(AJ138="","",INDEX($Z:$Z,138)&amp;"-"&amp;COUNTIFS($Z$7:Z138,INDEX($Z:$Z,138),$AJ$7:AJ138,1))</f>
        <v/>
      </c>
      <c r="AL138" s="43" t="str">
        <f aca="false">IF(AI138="","",TRIM(INDEX($D:$D,138)&amp;" "&amp;INDEX($C:$C,138))&amp;IF(INDEX($I:$I,138)="Yes"," (child)",""))</f>
        <v/>
      </c>
      <c r="AM138" s="95" t="str">
        <f aca="false">IF(OR(AI138="",INDEX($X:$X,138)="",INDEX($U:$U,138)="Declined"),"",COUNTIFS($X$7:X138,"?*",$U$7:U138,"&lt;&gt;Declined",$AI$7:AI138,1))</f>
        <v/>
      </c>
      <c r="AN138" s="95" t="str">
        <f aca="false">IF(AI138="","",IF(INDEX($L:$L,138)="",1,IF(COUNTIF($L$7:L138,INDEX($L:$L,138))=1,1,"")))</f>
        <v/>
      </c>
      <c r="AO138" s="95" t="str">
        <f aca="false">IF(AN138&lt;&gt;1,"",IF(INDEX($L:$L,138)="",IF(INDEX($S:$S,138)="Yes",1,""),IF(COUNTIFS($L$7:$L$506,INDEX($L:$L,138),$S$7:$S$506,"Yes")&gt;0,1,"")))</f>
        <v/>
      </c>
      <c r="AP138" s="95" t="str">
        <f aca="false">IF(AN138&lt;&gt;1,"",IF(INDEX($L:$L,138)&lt;&gt;"",INDEX($L:$L,138),TRIM(INDEX($D:$D,138)&amp;" "&amp;INDEX($C:$C,138))))</f>
        <v/>
      </c>
      <c r="AQ138" s="43" t="str">
        <f aca="false">IF(OR(AI138="",INDEX($I:$I,138)="Yes"),"",1)</f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customFormat="false" ht="21.75" hidden="false" customHeight="true" outlineLevel="0" collapsed="false">
      <c r="A139" s="1"/>
      <c r="B139" s="113" t="str">
        <f aca="false">IF(AI139="","",COUNT($AI$7:AI139))</f>
        <v/>
      </c>
      <c r="C139" s="114"/>
      <c r="D139" s="114"/>
      <c r="E139" s="114"/>
      <c r="F139" s="114"/>
      <c r="G139" s="115"/>
      <c r="H139" s="115"/>
      <c r="I139" s="115"/>
      <c r="J139" s="115"/>
      <c r="K139" s="115"/>
      <c r="L139" s="114"/>
      <c r="M139" s="114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4"/>
      <c r="Y139" s="114"/>
      <c r="Z139" s="115"/>
      <c r="AA139" s="114"/>
      <c r="AB139" s="114"/>
      <c r="AC139" s="115"/>
      <c r="AD139" s="116"/>
      <c r="AE139" s="114"/>
      <c r="AF139" s="114"/>
      <c r="AG139" s="114"/>
      <c r="AH139" s="1"/>
      <c r="AI139" s="95" t="str">
        <f aca="false">IF(INDEX($C:$C,139)&amp;INDEX($D:$D,139)="","",1)</f>
        <v/>
      </c>
      <c r="AJ139" s="95" t="str">
        <f aca="false">IF(OR(AI139="",INDEX($Z:$Z,139)="",INDEX($U:$U,139)="Declined"),"",1)</f>
        <v/>
      </c>
      <c r="AK139" s="95" t="str">
        <f aca="false">IF(AJ139="","",INDEX($Z:$Z,139)&amp;"-"&amp;COUNTIFS($Z$7:Z139,INDEX($Z:$Z,139),$AJ$7:AJ139,1))</f>
        <v/>
      </c>
      <c r="AL139" s="43" t="str">
        <f aca="false">IF(AI139="","",TRIM(INDEX($D:$D,139)&amp;" "&amp;INDEX($C:$C,139))&amp;IF(INDEX($I:$I,139)="Yes"," (child)",""))</f>
        <v/>
      </c>
      <c r="AM139" s="95" t="str">
        <f aca="false">IF(OR(AI139="",INDEX($X:$X,139)="",INDEX($U:$U,139)="Declined"),"",COUNTIFS($X$7:X139,"?*",$U$7:U139,"&lt;&gt;Declined",$AI$7:AI139,1))</f>
        <v/>
      </c>
      <c r="AN139" s="95" t="str">
        <f aca="false">IF(AI139="","",IF(INDEX($L:$L,139)="",1,IF(COUNTIF($L$7:L139,INDEX($L:$L,139))=1,1,"")))</f>
        <v/>
      </c>
      <c r="AO139" s="95" t="str">
        <f aca="false">IF(AN139&lt;&gt;1,"",IF(INDEX($L:$L,139)="",IF(INDEX($S:$S,139)="Yes",1,""),IF(COUNTIFS($L$7:$L$506,INDEX($L:$L,139),$S$7:$S$506,"Yes")&gt;0,1,"")))</f>
        <v/>
      </c>
      <c r="AP139" s="95" t="str">
        <f aca="false">IF(AN139&lt;&gt;1,"",IF(INDEX($L:$L,139)&lt;&gt;"",INDEX($L:$L,139),TRIM(INDEX($D:$D,139)&amp;" "&amp;INDEX($C:$C,139))))</f>
        <v/>
      </c>
      <c r="AQ139" s="43" t="str">
        <f aca="false">IF(OR(AI139="",INDEX($I:$I,139)="Yes"),"",1)</f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customFormat="false" ht="21.75" hidden="false" customHeight="true" outlineLevel="0" collapsed="false">
      <c r="A140" s="1"/>
      <c r="B140" s="113" t="str">
        <f aca="false">IF(AI140="","",COUNT($AI$7:AI140))</f>
        <v/>
      </c>
      <c r="C140" s="114"/>
      <c r="D140" s="114"/>
      <c r="E140" s="114"/>
      <c r="F140" s="114"/>
      <c r="G140" s="115"/>
      <c r="H140" s="115"/>
      <c r="I140" s="115"/>
      <c r="J140" s="115"/>
      <c r="K140" s="115"/>
      <c r="L140" s="114"/>
      <c r="M140" s="114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4"/>
      <c r="Y140" s="114"/>
      <c r="Z140" s="115"/>
      <c r="AA140" s="114"/>
      <c r="AB140" s="114"/>
      <c r="AC140" s="115"/>
      <c r="AD140" s="116"/>
      <c r="AE140" s="114"/>
      <c r="AF140" s="114"/>
      <c r="AG140" s="114"/>
      <c r="AH140" s="1"/>
      <c r="AI140" s="95" t="str">
        <f aca="false">IF(INDEX($C:$C,140)&amp;INDEX($D:$D,140)="","",1)</f>
        <v/>
      </c>
      <c r="AJ140" s="95" t="str">
        <f aca="false">IF(OR(AI140="",INDEX($Z:$Z,140)="",INDEX($U:$U,140)="Declined"),"",1)</f>
        <v/>
      </c>
      <c r="AK140" s="95" t="str">
        <f aca="false">IF(AJ140="","",INDEX($Z:$Z,140)&amp;"-"&amp;COUNTIFS($Z$7:Z140,INDEX($Z:$Z,140),$AJ$7:AJ140,1))</f>
        <v/>
      </c>
      <c r="AL140" s="43" t="str">
        <f aca="false">IF(AI140="","",TRIM(INDEX($D:$D,140)&amp;" "&amp;INDEX($C:$C,140))&amp;IF(INDEX($I:$I,140)="Yes"," (child)",""))</f>
        <v/>
      </c>
      <c r="AM140" s="95" t="str">
        <f aca="false">IF(OR(AI140="",INDEX($X:$X,140)="",INDEX($U:$U,140)="Declined"),"",COUNTIFS($X$7:X140,"?*",$U$7:U140,"&lt;&gt;Declined",$AI$7:AI140,1))</f>
        <v/>
      </c>
      <c r="AN140" s="95" t="str">
        <f aca="false">IF(AI140="","",IF(INDEX($L:$L,140)="",1,IF(COUNTIF($L$7:L140,INDEX($L:$L,140))=1,1,"")))</f>
        <v/>
      </c>
      <c r="AO140" s="95" t="str">
        <f aca="false">IF(AN140&lt;&gt;1,"",IF(INDEX($L:$L,140)="",IF(INDEX($S:$S,140)="Yes",1,""),IF(COUNTIFS($L$7:$L$506,INDEX($L:$L,140),$S$7:$S$506,"Yes")&gt;0,1,"")))</f>
        <v/>
      </c>
      <c r="AP140" s="95" t="str">
        <f aca="false">IF(AN140&lt;&gt;1,"",IF(INDEX($L:$L,140)&lt;&gt;"",INDEX($L:$L,140),TRIM(INDEX($D:$D,140)&amp;" "&amp;INDEX($C:$C,140))))</f>
        <v/>
      </c>
      <c r="AQ140" s="43" t="str">
        <f aca="false">IF(OR(AI140="",INDEX($I:$I,140)="Yes"),"",1)</f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customFormat="false" ht="21.75" hidden="false" customHeight="true" outlineLevel="0" collapsed="false">
      <c r="A141" s="1"/>
      <c r="B141" s="113" t="str">
        <f aca="false">IF(AI141="","",COUNT($AI$7:AI141))</f>
        <v/>
      </c>
      <c r="C141" s="114"/>
      <c r="D141" s="114"/>
      <c r="E141" s="114"/>
      <c r="F141" s="114"/>
      <c r="G141" s="115"/>
      <c r="H141" s="115"/>
      <c r="I141" s="115"/>
      <c r="J141" s="115"/>
      <c r="K141" s="115"/>
      <c r="L141" s="114"/>
      <c r="M141" s="114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4"/>
      <c r="Y141" s="114"/>
      <c r="Z141" s="115"/>
      <c r="AA141" s="114"/>
      <c r="AB141" s="114"/>
      <c r="AC141" s="115"/>
      <c r="AD141" s="116"/>
      <c r="AE141" s="114"/>
      <c r="AF141" s="114"/>
      <c r="AG141" s="114"/>
      <c r="AH141" s="1"/>
      <c r="AI141" s="95" t="str">
        <f aca="false">IF(INDEX($C:$C,141)&amp;INDEX($D:$D,141)="","",1)</f>
        <v/>
      </c>
      <c r="AJ141" s="95" t="str">
        <f aca="false">IF(OR(AI141="",INDEX($Z:$Z,141)="",INDEX($U:$U,141)="Declined"),"",1)</f>
        <v/>
      </c>
      <c r="AK141" s="95" t="str">
        <f aca="false">IF(AJ141="","",INDEX($Z:$Z,141)&amp;"-"&amp;COUNTIFS($Z$7:Z141,INDEX($Z:$Z,141),$AJ$7:AJ141,1))</f>
        <v/>
      </c>
      <c r="AL141" s="43" t="str">
        <f aca="false">IF(AI141="","",TRIM(INDEX($D:$D,141)&amp;" "&amp;INDEX($C:$C,141))&amp;IF(INDEX($I:$I,141)="Yes"," (child)",""))</f>
        <v/>
      </c>
      <c r="AM141" s="95" t="str">
        <f aca="false">IF(OR(AI141="",INDEX($X:$X,141)="",INDEX($U:$U,141)="Declined"),"",COUNTIFS($X$7:X141,"?*",$U$7:U141,"&lt;&gt;Declined",$AI$7:AI141,1))</f>
        <v/>
      </c>
      <c r="AN141" s="95" t="str">
        <f aca="false">IF(AI141="","",IF(INDEX($L:$L,141)="",1,IF(COUNTIF($L$7:L141,INDEX($L:$L,141))=1,1,"")))</f>
        <v/>
      </c>
      <c r="AO141" s="95" t="str">
        <f aca="false">IF(AN141&lt;&gt;1,"",IF(INDEX($L:$L,141)="",IF(INDEX($S:$S,141)="Yes",1,""),IF(COUNTIFS($L$7:$L$506,INDEX($L:$L,141),$S$7:$S$506,"Yes")&gt;0,1,"")))</f>
        <v/>
      </c>
      <c r="AP141" s="95" t="str">
        <f aca="false">IF(AN141&lt;&gt;1,"",IF(INDEX($L:$L,141)&lt;&gt;"",INDEX($L:$L,141),TRIM(INDEX($D:$D,141)&amp;" "&amp;INDEX($C:$C,141))))</f>
        <v/>
      </c>
      <c r="AQ141" s="43" t="str">
        <f aca="false">IF(OR(AI141="",INDEX($I:$I,141)="Yes"),"",1)</f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customFormat="false" ht="21.75" hidden="false" customHeight="true" outlineLevel="0" collapsed="false">
      <c r="A142" s="1"/>
      <c r="B142" s="113" t="str">
        <f aca="false">IF(AI142="","",COUNT($AI$7:AI142))</f>
        <v/>
      </c>
      <c r="C142" s="114"/>
      <c r="D142" s="114"/>
      <c r="E142" s="114"/>
      <c r="F142" s="114"/>
      <c r="G142" s="115"/>
      <c r="H142" s="115"/>
      <c r="I142" s="115"/>
      <c r="J142" s="115"/>
      <c r="K142" s="115"/>
      <c r="L142" s="114"/>
      <c r="M142" s="114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4"/>
      <c r="Y142" s="114"/>
      <c r="Z142" s="115"/>
      <c r="AA142" s="114"/>
      <c r="AB142" s="114"/>
      <c r="AC142" s="115"/>
      <c r="AD142" s="116"/>
      <c r="AE142" s="114"/>
      <c r="AF142" s="114"/>
      <c r="AG142" s="114"/>
      <c r="AH142" s="1"/>
      <c r="AI142" s="95" t="str">
        <f aca="false">IF(INDEX($C:$C,142)&amp;INDEX($D:$D,142)="","",1)</f>
        <v/>
      </c>
      <c r="AJ142" s="95" t="str">
        <f aca="false">IF(OR(AI142="",INDEX($Z:$Z,142)="",INDEX($U:$U,142)="Declined"),"",1)</f>
        <v/>
      </c>
      <c r="AK142" s="95" t="str">
        <f aca="false">IF(AJ142="","",INDEX($Z:$Z,142)&amp;"-"&amp;COUNTIFS($Z$7:Z142,INDEX($Z:$Z,142),$AJ$7:AJ142,1))</f>
        <v/>
      </c>
      <c r="AL142" s="43" t="str">
        <f aca="false">IF(AI142="","",TRIM(INDEX($D:$D,142)&amp;" "&amp;INDEX($C:$C,142))&amp;IF(INDEX($I:$I,142)="Yes"," (child)",""))</f>
        <v/>
      </c>
      <c r="AM142" s="95" t="str">
        <f aca="false">IF(OR(AI142="",INDEX($X:$X,142)="",INDEX($U:$U,142)="Declined"),"",COUNTIFS($X$7:X142,"?*",$U$7:U142,"&lt;&gt;Declined",$AI$7:AI142,1))</f>
        <v/>
      </c>
      <c r="AN142" s="95" t="str">
        <f aca="false">IF(AI142="","",IF(INDEX($L:$L,142)="",1,IF(COUNTIF($L$7:L142,INDEX($L:$L,142))=1,1,"")))</f>
        <v/>
      </c>
      <c r="AO142" s="95" t="str">
        <f aca="false">IF(AN142&lt;&gt;1,"",IF(INDEX($L:$L,142)="",IF(INDEX($S:$S,142)="Yes",1,""),IF(COUNTIFS($L$7:$L$506,INDEX($L:$L,142),$S$7:$S$506,"Yes")&gt;0,1,"")))</f>
        <v/>
      </c>
      <c r="AP142" s="95" t="str">
        <f aca="false">IF(AN142&lt;&gt;1,"",IF(INDEX($L:$L,142)&lt;&gt;"",INDEX($L:$L,142),TRIM(INDEX($D:$D,142)&amp;" "&amp;INDEX($C:$C,142))))</f>
        <v/>
      </c>
      <c r="AQ142" s="43" t="str">
        <f aca="false">IF(OR(AI142="",INDEX($I:$I,142)="Yes"),"",1)</f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customFormat="false" ht="21.75" hidden="false" customHeight="true" outlineLevel="0" collapsed="false">
      <c r="A143" s="1"/>
      <c r="B143" s="113" t="str">
        <f aca="false">IF(AI143="","",COUNT($AI$7:AI143))</f>
        <v/>
      </c>
      <c r="C143" s="114"/>
      <c r="D143" s="114"/>
      <c r="E143" s="114"/>
      <c r="F143" s="114"/>
      <c r="G143" s="115"/>
      <c r="H143" s="115"/>
      <c r="I143" s="115"/>
      <c r="J143" s="115"/>
      <c r="K143" s="115"/>
      <c r="L143" s="114"/>
      <c r="M143" s="114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4"/>
      <c r="Y143" s="114"/>
      <c r="Z143" s="115"/>
      <c r="AA143" s="114"/>
      <c r="AB143" s="114"/>
      <c r="AC143" s="115"/>
      <c r="AD143" s="116"/>
      <c r="AE143" s="114"/>
      <c r="AF143" s="114"/>
      <c r="AG143" s="114"/>
      <c r="AH143" s="1"/>
      <c r="AI143" s="95" t="str">
        <f aca="false">IF(INDEX($C:$C,143)&amp;INDEX($D:$D,143)="","",1)</f>
        <v/>
      </c>
      <c r="AJ143" s="95" t="str">
        <f aca="false">IF(OR(AI143="",INDEX($Z:$Z,143)="",INDEX($U:$U,143)="Declined"),"",1)</f>
        <v/>
      </c>
      <c r="AK143" s="95" t="str">
        <f aca="false">IF(AJ143="","",INDEX($Z:$Z,143)&amp;"-"&amp;COUNTIFS($Z$7:Z143,INDEX($Z:$Z,143),$AJ$7:AJ143,1))</f>
        <v/>
      </c>
      <c r="AL143" s="43" t="str">
        <f aca="false">IF(AI143="","",TRIM(INDEX($D:$D,143)&amp;" "&amp;INDEX($C:$C,143))&amp;IF(INDEX($I:$I,143)="Yes"," (child)",""))</f>
        <v/>
      </c>
      <c r="AM143" s="95" t="str">
        <f aca="false">IF(OR(AI143="",INDEX($X:$X,143)="",INDEX($U:$U,143)="Declined"),"",COUNTIFS($X$7:X143,"?*",$U$7:U143,"&lt;&gt;Declined",$AI$7:AI143,1))</f>
        <v/>
      </c>
      <c r="AN143" s="95" t="str">
        <f aca="false">IF(AI143="","",IF(INDEX($L:$L,143)="",1,IF(COUNTIF($L$7:L143,INDEX($L:$L,143))=1,1,"")))</f>
        <v/>
      </c>
      <c r="AO143" s="95" t="str">
        <f aca="false">IF(AN143&lt;&gt;1,"",IF(INDEX($L:$L,143)="",IF(INDEX($S:$S,143)="Yes",1,""),IF(COUNTIFS($L$7:$L$506,INDEX($L:$L,143),$S$7:$S$506,"Yes")&gt;0,1,"")))</f>
        <v/>
      </c>
      <c r="AP143" s="95" t="str">
        <f aca="false">IF(AN143&lt;&gt;1,"",IF(INDEX($L:$L,143)&lt;&gt;"",INDEX($L:$L,143),TRIM(INDEX($D:$D,143)&amp;" "&amp;INDEX($C:$C,143))))</f>
        <v/>
      </c>
      <c r="AQ143" s="43" t="str">
        <f aca="false">IF(OR(AI143="",INDEX($I:$I,143)="Yes"),"",1)</f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customFormat="false" ht="21.75" hidden="false" customHeight="true" outlineLevel="0" collapsed="false">
      <c r="A144" s="1"/>
      <c r="B144" s="113" t="str">
        <f aca="false">IF(AI144="","",COUNT($AI$7:AI144))</f>
        <v/>
      </c>
      <c r="C144" s="114"/>
      <c r="D144" s="114"/>
      <c r="E144" s="114"/>
      <c r="F144" s="114"/>
      <c r="G144" s="115"/>
      <c r="H144" s="115"/>
      <c r="I144" s="115"/>
      <c r="J144" s="115"/>
      <c r="K144" s="115"/>
      <c r="L144" s="114"/>
      <c r="M144" s="114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4"/>
      <c r="Y144" s="114"/>
      <c r="Z144" s="115"/>
      <c r="AA144" s="114"/>
      <c r="AB144" s="114"/>
      <c r="AC144" s="115"/>
      <c r="AD144" s="116"/>
      <c r="AE144" s="114"/>
      <c r="AF144" s="114"/>
      <c r="AG144" s="114"/>
      <c r="AH144" s="1"/>
      <c r="AI144" s="95" t="str">
        <f aca="false">IF(INDEX($C:$C,144)&amp;INDEX($D:$D,144)="","",1)</f>
        <v/>
      </c>
      <c r="AJ144" s="95" t="str">
        <f aca="false">IF(OR(AI144="",INDEX($Z:$Z,144)="",INDEX($U:$U,144)="Declined"),"",1)</f>
        <v/>
      </c>
      <c r="AK144" s="95" t="str">
        <f aca="false">IF(AJ144="","",INDEX($Z:$Z,144)&amp;"-"&amp;COUNTIFS($Z$7:Z144,INDEX($Z:$Z,144),$AJ$7:AJ144,1))</f>
        <v/>
      </c>
      <c r="AL144" s="43" t="str">
        <f aca="false">IF(AI144="","",TRIM(INDEX($D:$D,144)&amp;" "&amp;INDEX($C:$C,144))&amp;IF(INDEX($I:$I,144)="Yes"," (child)",""))</f>
        <v/>
      </c>
      <c r="AM144" s="95" t="str">
        <f aca="false">IF(OR(AI144="",INDEX($X:$X,144)="",INDEX($U:$U,144)="Declined"),"",COUNTIFS($X$7:X144,"?*",$U$7:U144,"&lt;&gt;Declined",$AI$7:AI144,1))</f>
        <v/>
      </c>
      <c r="AN144" s="95" t="str">
        <f aca="false">IF(AI144="","",IF(INDEX($L:$L,144)="",1,IF(COUNTIF($L$7:L144,INDEX($L:$L,144))=1,1,"")))</f>
        <v/>
      </c>
      <c r="AO144" s="95" t="str">
        <f aca="false">IF(AN144&lt;&gt;1,"",IF(INDEX($L:$L,144)="",IF(INDEX($S:$S,144)="Yes",1,""),IF(COUNTIFS($L$7:$L$506,INDEX($L:$L,144),$S$7:$S$506,"Yes")&gt;0,1,"")))</f>
        <v/>
      </c>
      <c r="AP144" s="95" t="str">
        <f aca="false">IF(AN144&lt;&gt;1,"",IF(INDEX($L:$L,144)&lt;&gt;"",INDEX($L:$L,144),TRIM(INDEX($D:$D,144)&amp;" "&amp;INDEX($C:$C,144))))</f>
        <v/>
      </c>
      <c r="AQ144" s="43" t="str">
        <f aca="false">IF(OR(AI144="",INDEX($I:$I,144)="Yes"),"",1)</f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customFormat="false" ht="21.75" hidden="false" customHeight="true" outlineLevel="0" collapsed="false">
      <c r="A145" s="1"/>
      <c r="B145" s="113" t="str">
        <f aca="false">IF(AI145="","",COUNT($AI$7:AI145))</f>
        <v/>
      </c>
      <c r="C145" s="114"/>
      <c r="D145" s="114"/>
      <c r="E145" s="114"/>
      <c r="F145" s="114"/>
      <c r="G145" s="115"/>
      <c r="H145" s="115"/>
      <c r="I145" s="115"/>
      <c r="J145" s="115"/>
      <c r="K145" s="115"/>
      <c r="L145" s="114"/>
      <c r="M145" s="114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4"/>
      <c r="Y145" s="114"/>
      <c r="Z145" s="115"/>
      <c r="AA145" s="114"/>
      <c r="AB145" s="114"/>
      <c r="AC145" s="115"/>
      <c r="AD145" s="116"/>
      <c r="AE145" s="114"/>
      <c r="AF145" s="114"/>
      <c r="AG145" s="114"/>
      <c r="AH145" s="1"/>
      <c r="AI145" s="95" t="str">
        <f aca="false">IF(INDEX($C:$C,145)&amp;INDEX($D:$D,145)="","",1)</f>
        <v/>
      </c>
      <c r="AJ145" s="95" t="str">
        <f aca="false">IF(OR(AI145="",INDEX($Z:$Z,145)="",INDEX($U:$U,145)="Declined"),"",1)</f>
        <v/>
      </c>
      <c r="AK145" s="95" t="str">
        <f aca="false">IF(AJ145="","",INDEX($Z:$Z,145)&amp;"-"&amp;COUNTIFS($Z$7:Z145,INDEX($Z:$Z,145),$AJ$7:AJ145,1))</f>
        <v/>
      </c>
      <c r="AL145" s="43" t="str">
        <f aca="false">IF(AI145="","",TRIM(INDEX($D:$D,145)&amp;" "&amp;INDEX($C:$C,145))&amp;IF(INDEX($I:$I,145)="Yes"," (child)",""))</f>
        <v/>
      </c>
      <c r="AM145" s="95" t="str">
        <f aca="false">IF(OR(AI145="",INDEX($X:$X,145)="",INDEX($U:$U,145)="Declined"),"",COUNTIFS($X$7:X145,"?*",$U$7:U145,"&lt;&gt;Declined",$AI$7:AI145,1))</f>
        <v/>
      </c>
      <c r="AN145" s="95" t="str">
        <f aca="false">IF(AI145="","",IF(INDEX($L:$L,145)="",1,IF(COUNTIF($L$7:L145,INDEX($L:$L,145))=1,1,"")))</f>
        <v/>
      </c>
      <c r="AO145" s="95" t="str">
        <f aca="false">IF(AN145&lt;&gt;1,"",IF(INDEX($L:$L,145)="",IF(INDEX($S:$S,145)="Yes",1,""),IF(COUNTIFS($L$7:$L$506,INDEX($L:$L,145),$S$7:$S$506,"Yes")&gt;0,1,"")))</f>
        <v/>
      </c>
      <c r="AP145" s="95" t="str">
        <f aca="false">IF(AN145&lt;&gt;1,"",IF(INDEX($L:$L,145)&lt;&gt;"",INDEX($L:$L,145),TRIM(INDEX($D:$D,145)&amp;" "&amp;INDEX($C:$C,145))))</f>
        <v/>
      </c>
      <c r="AQ145" s="43" t="str">
        <f aca="false">IF(OR(AI145="",INDEX($I:$I,145)="Yes"),"",1)</f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customFormat="false" ht="21.75" hidden="false" customHeight="true" outlineLevel="0" collapsed="false">
      <c r="A146" s="1"/>
      <c r="B146" s="113" t="str">
        <f aca="false">IF(AI146="","",COUNT($AI$7:AI146))</f>
        <v/>
      </c>
      <c r="C146" s="114"/>
      <c r="D146" s="114"/>
      <c r="E146" s="114"/>
      <c r="F146" s="114"/>
      <c r="G146" s="115"/>
      <c r="H146" s="115"/>
      <c r="I146" s="115"/>
      <c r="J146" s="115"/>
      <c r="K146" s="115"/>
      <c r="L146" s="114"/>
      <c r="M146" s="114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4"/>
      <c r="Y146" s="114"/>
      <c r="Z146" s="115"/>
      <c r="AA146" s="114"/>
      <c r="AB146" s="114"/>
      <c r="AC146" s="115"/>
      <c r="AD146" s="116"/>
      <c r="AE146" s="114"/>
      <c r="AF146" s="114"/>
      <c r="AG146" s="114"/>
      <c r="AH146" s="1"/>
      <c r="AI146" s="95" t="str">
        <f aca="false">IF(INDEX($C:$C,146)&amp;INDEX($D:$D,146)="","",1)</f>
        <v/>
      </c>
      <c r="AJ146" s="95" t="str">
        <f aca="false">IF(OR(AI146="",INDEX($Z:$Z,146)="",INDEX($U:$U,146)="Declined"),"",1)</f>
        <v/>
      </c>
      <c r="AK146" s="95" t="str">
        <f aca="false">IF(AJ146="","",INDEX($Z:$Z,146)&amp;"-"&amp;COUNTIFS($Z$7:Z146,INDEX($Z:$Z,146),$AJ$7:AJ146,1))</f>
        <v/>
      </c>
      <c r="AL146" s="43" t="str">
        <f aca="false">IF(AI146="","",TRIM(INDEX($D:$D,146)&amp;" "&amp;INDEX($C:$C,146))&amp;IF(INDEX($I:$I,146)="Yes"," (child)",""))</f>
        <v/>
      </c>
      <c r="AM146" s="95" t="str">
        <f aca="false">IF(OR(AI146="",INDEX($X:$X,146)="",INDEX($U:$U,146)="Declined"),"",COUNTIFS($X$7:X146,"?*",$U$7:U146,"&lt;&gt;Declined",$AI$7:AI146,1))</f>
        <v/>
      </c>
      <c r="AN146" s="95" t="str">
        <f aca="false">IF(AI146="","",IF(INDEX($L:$L,146)="",1,IF(COUNTIF($L$7:L146,INDEX($L:$L,146))=1,1,"")))</f>
        <v/>
      </c>
      <c r="AO146" s="95" t="str">
        <f aca="false">IF(AN146&lt;&gt;1,"",IF(INDEX($L:$L,146)="",IF(INDEX($S:$S,146)="Yes",1,""),IF(COUNTIFS($L$7:$L$506,INDEX($L:$L,146),$S$7:$S$506,"Yes")&gt;0,1,"")))</f>
        <v/>
      </c>
      <c r="AP146" s="95" t="str">
        <f aca="false">IF(AN146&lt;&gt;1,"",IF(INDEX($L:$L,146)&lt;&gt;"",INDEX($L:$L,146),TRIM(INDEX($D:$D,146)&amp;" "&amp;INDEX($C:$C,146))))</f>
        <v/>
      </c>
      <c r="AQ146" s="43" t="str">
        <f aca="false">IF(OR(AI146="",INDEX($I:$I,146)="Yes"),"",1)</f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customFormat="false" ht="21.75" hidden="false" customHeight="true" outlineLevel="0" collapsed="false">
      <c r="A147" s="1"/>
      <c r="B147" s="113" t="str">
        <f aca="false">IF(AI147="","",COUNT($AI$7:AI147))</f>
        <v/>
      </c>
      <c r="C147" s="114"/>
      <c r="D147" s="114"/>
      <c r="E147" s="114"/>
      <c r="F147" s="114"/>
      <c r="G147" s="115"/>
      <c r="H147" s="115"/>
      <c r="I147" s="115"/>
      <c r="J147" s="115"/>
      <c r="K147" s="115"/>
      <c r="L147" s="114"/>
      <c r="M147" s="114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4"/>
      <c r="Y147" s="114"/>
      <c r="Z147" s="115"/>
      <c r="AA147" s="114"/>
      <c r="AB147" s="114"/>
      <c r="AC147" s="115"/>
      <c r="AD147" s="116"/>
      <c r="AE147" s="114"/>
      <c r="AF147" s="114"/>
      <c r="AG147" s="114"/>
      <c r="AH147" s="1"/>
      <c r="AI147" s="95" t="str">
        <f aca="false">IF(INDEX($C:$C,147)&amp;INDEX($D:$D,147)="","",1)</f>
        <v/>
      </c>
      <c r="AJ147" s="95" t="str">
        <f aca="false">IF(OR(AI147="",INDEX($Z:$Z,147)="",INDEX($U:$U,147)="Declined"),"",1)</f>
        <v/>
      </c>
      <c r="AK147" s="95" t="str">
        <f aca="false">IF(AJ147="","",INDEX($Z:$Z,147)&amp;"-"&amp;COUNTIFS($Z$7:Z147,INDEX($Z:$Z,147),$AJ$7:AJ147,1))</f>
        <v/>
      </c>
      <c r="AL147" s="43" t="str">
        <f aca="false">IF(AI147="","",TRIM(INDEX($D:$D,147)&amp;" "&amp;INDEX($C:$C,147))&amp;IF(INDEX($I:$I,147)="Yes"," (child)",""))</f>
        <v/>
      </c>
      <c r="AM147" s="95" t="str">
        <f aca="false">IF(OR(AI147="",INDEX($X:$X,147)="",INDEX($U:$U,147)="Declined"),"",COUNTIFS($X$7:X147,"?*",$U$7:U147,"&lt;&gt;Declined",$AI$7:AI147,1))</f>
        <v/>
      </c>
      <c r="AN147" s="95" t="str">
        <f aca="false">IF(AI147="","",IF(INDEX($L:$L,147)="",1,IF(COUNTIF($L$7:L147,INDEX($L:$L,147))=1,1,"")))</f>
        <v/>
      </c>
      <c r="AO147" s="95" t="str">
        <f aca="false">IF(AN147&lt;&gt;1,"",IF(INDEX($L:$L,147)="",IF(INDEX($S:$S,147)="Yes",1,""),IF(COUNTIFS($L$7:$L$506,INDEX($L:$L,147),$S$7:$S$506,"Yes")&gt;0,1,"")))</f>
        <v/>
      </c>
      <c r="AP147" s="95" t="str">
        <f aca="false">IF(AN147&lt;&gt;1,"",IF(INDEX($L:$L,147)&lt;&gt;"",INDEX($L:$L,147),TRIM(INDEX($D:$D,147)&amp;" "&amp;INDEX($C:$C,147))))</f>
        <v/>
      </c>
      <c r="AQ147" s="43" t="str">
        <f aca="false">IF(OR(AI147="",INDEX($I:$I,147)="Yes"),"",1)</f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customFormat="false" ht="21.75" hidden="false" customHeight="true" outlineLevel="0" collapsed="false">
      <c r="A148" s="1"/>
      <c r="B148" s="113" t="str">
        <f aca="false">IF(AI148="","",COUNT($AI$7:AI148))</f>
        <v/>
      </c>
      <c r="C148" s="114"/>
      <c r="D148" s="114"/>
      <c r="E148" s="114"/>
      <c r="F148" s="114"/>
      <c r="G148" s="115"/>
      <c r="H148" s="115"/>
      <c r="I148" s="115"/>
      <c r="J148" s="115"/>
      <c r="K148" s="115"/>
      <c r="L148" s="114"/>
      <c r="M148" s="114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4"/>
      <c r="Y148" s="114"/>
      <c r="Z148" s="115"/>
      <c r="AA148" s="114"/>
      <c r="AB148" s="114"/>
      <c r="AC148" s="115"/>
      <c r="AD148" s="116"/>
      <c r="AE148" s="114"/>
      <c r="AF148" s="114"/>
      <c r="AG148" s="114"/>
      <c r="AH148" s="1"/>
      <c r="AI148" s="95" t="str">
        <f aca="false">IF(INDEX($C:$C,148)&amp;INDEX($D:$D,148)="","",1)</f>
        <v/>
      </c>
      <c r="AJ148" s="95" t="str">
        <f aca="false">IF(OR(AI148="",INDEX($Z:$Z,148)="",INDEX($U:$U,148)="Declined"),"",1)</f>
        <v/>
      </c>
      <c r="AK148" s="95" t="str">
        <f aca="false">IF(AJ148="","",INDEX($Z:$Z,148)&amp;"-"&amp;COUNTIFS($Z$7:Z148,INDEX($Z:$Z,148),$AJ$7:AJ148,1))</f>
        <v/>
      </c>
      <c r="AL148" s="43" t="str">
        <f aca="false">IF(AI148="","",TRIM(INDEX($D:$D,148)&amp;" "&amp;INDEX($C:$C,148))&amp;IF(INDEX($I:$I,148)="Yes"," (child)",""))</f>
        <v/>
      </c>
      <c r="AM148" s="95" t="str">
        <f aca="false">IF(OR(AI148="",INDEX($X:$X,148)="",INDEX($U:$U,148)="Declined"),"",COUNTIFS($X$7:X148,"?*",$U$7:U148,"&lt;&gt;Declined",$AI$7:AI148,1))</f>
        <v/>
      </c>
      <c r="AN148" s="95" t="str">
        <f aca="false">IF(AI148="","",IF(INDEX($L:$L,148)="",1,IF(COUNTIF($L$7:L148,INDEX($L:$L,148))=1,1,"")))</f>
        <v/>
      </c>
      <c r="AO148" s="95" t="str">
        <f aca="false">IF(AN148&lt;&gt;1,"",IF(INDEX($L:$L,148)="",IF(INDEX($S:$S,148)="Yes",1,""),IF(COUNTIFS($L$7:$L$506,INDEX($L:$L,148),$S$7:$S$506,"Yes")&gt;0,1,"")))</f>
        <v/>
      </c>
      <c r="AP148" s="95" t="str">
        <f aca="false">IF(AN148&lt;&gt;1,"",IF(INDEX($L:$L,148)&lt;&gt;"",INDEX($L:$L,148),TRIM(INDEX($D:$D,148)&amp;" "&amp;INDEX($C:$C,148))))</f>
        <v/>
      </c>
      <c r="AQ148" s="43" t="str">
        <f aca="false">IF(OR(AI148="",INDEX($I:$I,148)="Yes"),"",1)</f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customFormat="false" ht="21.75" hidden="false" customHeight="true" outlineLevel="0" collapsed="false">
      <c r="A149" s="1"/>
      <c r="B149" s="113" t="str">
        <f aca="false">IF(AI149="","",COUNT($AI$7:AI149))</f>
        <v/>
      </c>
      <c r="C149" s="114"/>
      <c r="D149" s="114"/>
      <c r="E149" s="114"/>
      <c r="F149" s="114"/>
      <c r="G149" s="115"/>
      <c r="H149" s="115"/>
      <c r="I149" s="115"/>
      <c r="J149" s="115"/>
      <c r="K149" s="115"/>
      <c r="L149" s="114"/>
      <c r="M149" s="114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4"/>
      <c r="Y149" s="114"/>
      <c r="Z149" s="115"/>
      <c r="AA149" s="114"/>
      <c r="AB149" s="114"/>
      <c r="AC149" s="115"/>
      <c r="AD149" s="116"/>
      <c r="AE149" s="114"/>
      <c r="AF149" s="114"/>
      <c r="AG149" s="114"/>
      <c r="AH149" s="1"/>
      <c r="AI149" s="95" t="str">
        <f aca="false">IF(INDEX($C:$C,149)&amp;INDEX($D:$D,149)="","",1)</f>
        <v/>
      </c>
      <c r="AJ149" s="95" t="str">
        <f aca="false">IF(OR(AI149="",INDEX($Z:$Z,149)="",INDEX($U:$U,149)="Declined"),"",1)</f>
        <v/>
      </c>
      <c r="AK149" s="95" t="str">
        <f aca="false">IF(AJ149="","",INDEX($Z:$Z,149)&amp;"-"&amp;COUNTIFS($Z$7:Z149,INDEX($Z:$Z,149),$AJ$7:AJ149,1))</f>
        <v/>
      </c>
      <c r="AL149" s="43" t="str">
        <f aca="false">IF(AI149="","",TRIM(INDEX($D:$D,149)&amp;" "&amp;INDEX($C:$C,149))&amp;IF(INDEX($I:$I,149)="Yes"," (child)",""))</f>
        <v/>
      </c>
      <c r="AM149" s="95" t="str">
        <f aca="false">IF(OR(AI149="",INDEX($X:$X,149)="",INDEX($U:$U,149)="Declined"),"",COUNTIFS($X$7:X149,"?*",$U$7:U149,"&lt;&gt;Declined",$AI$7:AI149,1))</f>
        <v/>
      </c>
      <c r="AN149" s="95" t="str">
        <f aca="false">IF(AI149="","",IF(INDEX($L:$L,149)="",1,IF(COUNTIF($L$7:L149,INDEX($L:$L,149))=1,1,"")))</f>
        <v/>
      </c>
      <c r="AO149" s="95" t="str">
        <f aca="false">IF(AN149&lt;&gt;1,"",IF(INDEX($L:$L,149)="",IF(INDEX($S:$S,149)="Yes",1,""),IF(COUNTIFS($L$7:$L$506,INDEX($L:$L,149),$S$7:$S$506,"Yes")&gt;0,1,"")))</f>
        <v/>
      </c>
      <c r="AP149" s="95" t="str">
        <f aca="false">IF(AN149&lt;&gt;1,"",IF(INDEX($L:$L,149)&lt;&gt;"",INDEX($L:$L,149),TRIM(INDEX($D:$D,149)&amp;" "&amp;INDEX($C:$C,149))))</f>
        <v/>
      </c>
      <c r="AQ149" s="43" t="str">
        <f aca="false">IF(OR(AI149="",INDEX($I:$I,149)="Yes"),"",1)</f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customFormat="false" ht="21.75" hidden="false" customHeight="true" outlineLevel="0" collapsed="false">
      <c r="A150" s="1"/>
      <c r="B150" s="113" t="str">
        <f aca="false">IF(AI150="","",COUNT($AI$7:AI150))</f>
        <v/>
      </c>
      <c r="C150" s="114"/>
      <c r="D150" s="114"/>
      <c r="E150" s="114"/>
      <c r="F150" s="114"/>
      <c r="G150" s="115"/>
      <c r="H150" s="115"/>
      <c r="I150" s="115"/>
      <c r="J150" s="115"/>
      <c r="K150" s="115"/>
      <c r="L150" s="114"/>
      <c r="M150" s="114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4"/>
      <c r="Y150" s="114"/>
      <c r="Z150" s="115"/>
      <c r="AA150" s="114"/>
      <c r="AB150" s="114"/>
      <c r="AC150" s="115"/>
      <c r="AD150" s="116"/>
      <c r="AE150" s="114"/>
      <c r="AF150" s="114"/>
      <c r="AG150" s="114"/>
      <c r="AH150" s="1"/>
      <c r="AI150" s="95" t="str">
        <f aca="false">IF(INDEX($C:$C,150)&amp;INDEX($D:$D,150)="","",1)</f>
        <v/>
      </c>
      <c r="AJ150" s="95" t="str">
        <f aca="false">IF(OR(AI150="",INDEX($Z:$Z,150)="",INDEX($U:$U,150)="Declined"),"",1)</f>
        <v/>
      </c>
      <c r="AK150" s="95" t="str">
        <f aca="false">IF(AJ150="","",INDEX($Z:$Z,150)&amp;"-"&amp;COUNTIFS($Z$7:Z150,INDEX($Z:$Z,150),$AJ$7:AJ150,1))</f>
        <v/>
      </c>
      <c r="AL150" s="43" t="str">
        <f aca="false">IF(AI150="","",TRIM(INDEX($D:$D,150)&amp;" "&amp;INDEX($C:$C,150))&amp;IF(INDEX($I:$I,150)="Yes"," (child)",""))</f>
        <v/>
      </c>
      <c r="AM150" s="95" t="str">
        <f aca="false">IF(OR(AI150="",INDEX($X:$X,150)="",INDEX($U:$U,150)="Declined"),"",COUNTIFS($X$7:X150,"?*",$U$7:U150,"&lt;&gt;Declined",$AI$7:AI150,1))</f>
        <v/>
      </c>
      <c r="AN150" s="95" t="str">
        <f aca="false">IF(AI150="","",IF(INDEX($L:$L,150)="",1,IF(COUNTIF($L$7:L150,INDEX($L:$L,150))=1,1,"")))</f>
        <v/>
      </c>
      <c r="AO150" s="95" t="str">
        <f aca="false">IF(AN150&lt;&gt;1,"",IF(INDEX($L:$L,150)="",IF(INDEX($S:$S,150)="Yes",1,""),IF(COUNTIFS($L$7:$L$506,INDEX($L:$L,150),$S$7:$S$506,"Yes")&gt;0,1,"")))</f>
        <v/>
      </c>
      <c r="AP150" s="95" t="str">
        <f aca="false">IF(AN150&lt;&gt;1,"",IF(INDEX($L:$L,150)&lt;&gt;"",INDEX($L:$L,150),TRIM(INDEX($D:$D,150)&amp;" "&amp;INDEX($C:$C,150))))</f>
        <v/>
      </c>
      <c r="AQ150" s="43" t="str">
        <f aca="false">IF(OR(AI150="",INDEX($I:$I,150)="Yes"),"",1)</f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customFormat="false" ht="21.75" hidden="false" customHeight="true" outlineLevel="0" collapsed="false">
      <c r="A151" s="1"/>
      <c r="B151" s="113" t="str">
        <f aca="false">IF(AI151="","",COUNT($AI$7:AI151))</f>
        <v/>
      </c>
      <c r="C151" s="114"/>
      <c r="D151" s="114"/>
      <c r="E151" s="114"/>
      <c r="F151" s="114"/>
      <c r="G151" s="115"/>
      <c r="H151" s="115"/>
      <c r="I151" s="115"/>
      <c r="J151" s="115"/>
      <c r="K151" s="115"/>
      <c r="L151" s="114"/>
      <c r="M151" s="114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4"/>
      <c r="Y151" s="114"/>
      <c r="Z151" s="115"/>
      <c r="AA151" s="114"/>
      <c r="AB151" s="114"/>
      <c r="AC151" s="115"/>
      <c r="AD151" s="116"/>
      <c r="AE151" s="114"/>
      <c r="AF151" s="114"/>
      <c r="AG151" s="114"/>
      <c r="AH151" s="1"/>
      <c r="AI151" s="95" t="str">
        <f aca="false">IF(INDEX($C:$C,151)&amp;INDEX($D:$D,151)="","",1)</f>
        <v/>
      </c>
      <c r="AJ151" s="95" t="str">
        <f aca="false">IF(OR(AI151="",INDEX($Z:$Z,151)="",INDEX($U:$U,151)="Declined"),"",1)</f>
        <v/>
      </c>
      <c r="AK151" s="95" t="str">
        <f aca="false">IF(AJ151="","",INDEX($Z:$Z,151)&amp;"-"&amp;COUNTIFS($Z$7:Z151,INDEX($Z:$Z,151),$AJ$7:AJ151,1))</f>
        <v/>
      </c>
      <c r="AL151" s="43" t="str">
        <f aca="false">IF(AI151="","",TRIM(INDEX($D:$D,151)&amp;" "&amp;INDEX($C:$C,151))&amp;IF(INDEX($I:$I,151)="Yes"," (child)",""))</f>
        <v/>
      </c>
      <c r="AM151" s="95" t="str">
        <f aca="false">IF(OR(AI151="",INDEX($X:$X,151)="",INDEX($U:$U,151)="Declined"),"",COUNTIFS($X$7:X151,"?*",$U$7:U151,"&lt;&gt;Declined",$AI$7:AI151,1))</f>
        <v/>
      </c>
      <c r="AN151" s="95" t="str">
        <f aca="false">IF(AI151="","",IF(INDEX($L:$L,151)="",1,IF(COUNTIF($L$7:L151,INDEX($L:$L,151))=1,1,"")))</f>
        <v/>
      </c>
      <c r="AO151" s="95" t="str">
        <f aca="false">IF(AN151&lt;&gt;1,"",IF(INDEX($L:$L,151)="",IF(INDEX($S:$S,151)="Yes",1,""),IF(COUNTIFS($L$7:$L$506,INDEX($L:$L,151),$S$7:$S$506,"Yes")&gt;0,1,"")))</f>
        <v/>
      </c>
      <c r="AP151" s="95" t="str">
        <f aca="false">IF(AN151&lt;&gt;1,"",IF(INDEX($L:$L,151)&lt;&gt;"",INDEX($L:$L,151),TRIM(INDEX($D:$D,151)&amp;" "&amp;INDEX($C:$C,151))))</f>
        <v/>
      </c>
      <c r="AQ151" s="43" t="str">
        <f aca="false">IF(OR(AI151="",INDEX($I:$I,151)="Yes"),"",1)</f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customFormat="false" ht="21.75" hidden="false" customHeight="true" outlineLevel="0" collapsed="false">
      <c r="A152" s="1"/>
      <c r="B152" s="113" t="str">
        <f aca="false">IF(AI152="","",COUNT($AI$7:AI152))</f>
        <v/>
      </c>
      <c r="C152" s="114"/>
      <c r="D152" s="114"/>
      <c r="E152" s="114"/>
      <c r="F152" s="114"/>
      <c r="G152" s="115"/>
      <c r="H152" s="115"/>
      <c r="I152" s="115"/>
      <c r="J152" s="115"/>
      <c r="K152" s="115"/>
      <c r="L152" s="114"/>
      <c r="M152" s="114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4"/>
      <c r="Y152" s="114"/>
      <c r="Z152" s="115"/>
      <c r="AA152" s="114"/>
      <c r="AB152" s="114"/>
      <c r="AC152" s="115"/>
      <c r="AD152" s="116"/>
      <c r="AE152" s="114"/>
      <c r="AF152" s="114"/>
      <c r="AG152" s="114"/>
      <c r="AH152" s="1"/>
      <c r="AI152" s="95" t="str">
        <f aca="false">IF(INDEX($C:$C,152)&amp;INDEX($D:$D,152)="","",1)</f>
        <v/>
      </c>
      <c r="AJ152" s="95" t="str">
        <f aca="false">IF(OR(AI152="",INDEX($Z:$Z,152)="",INDEX($U:$U,152)="Declined"),"",1)</f>
        <v/>
      </c>
      <c r="AK152" s="95" t="str">
        <f aca="false">IF(AJ152="","",INDEX($Z:$Z,152)&amp;"-"&amp;COUNTIFS($Z$7:Z152,INDEX($Z:$Z,152),$AJ$7:AJ152,1))</f>
        <v/>
      </c>
      <c r="AL152" s="43" t="str">
        <f aca="false">IF(AI152="","",TRIM(INDEX($D:$D,152)&amp;" "&amp;INDEX($C:$C,152))&amp;IF(INDEX($I:$I,152)="Yes"," (child)",""))</f>
        <v/>
      </c>
      <c r="AM152" s="95" t="str">
        <f aca="false">IF(OR(AI152="",INDEX($X:$X,152)="",INDEX($U:$U,152)="Declined"),"",COUNTIFS($X$7:X152,"?*",$U$7:U152,"&lt;&gt;Declined",$AI$7:AI152,1))</f>
        <v/>
      </c>
      <c r="AN152" s="95" t="str">
        <f aca="false">IF(AI152="","",IF(INDEX($L:$L,152)="",1,IF(COUNTIF($L$7:L152,INDEX($L:$L,152))=1,1,"")))</f>
        <v/>
      </c>
      <c r="AO152" s="95" t="str">
        <f aca="false">IF(AN152&lt;&gt;1,"",IF(INDEX($L:$L,152)="",IF(INDEX($S:$S,152)="Yes",1,""),IF(COUNTIFS($L$7:$L$506,INDEX($L:$L,152),$S$7:$S$506,"Yes")&gt;0,1,"")))</f>
        <v/>
      </c>
      <c r="AP152" s="95" t="str">
        <f aca="false">IF(AN152&lt;&gt;1,"",IF(INDEX($L:$L,152)&lt;&gt;"",INDEX($L:$L,152),TRIM(INDEX($D:$D,152)&amp;" "&amp;INDEX($C:$C,152))))</f>
        <v/>
      </c>
      <c r="AQ152" s="43" t="str">
        <f aca="false">IF(OR(AI152="",INDEX($I:$I,152)="Yes"),"",1)</f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customFormat="false" ht="21.75" hidden="false" customHeight="true" outlineLevel="0" collapsed="false">
      <c r="A153" s="1"/>
      <c r="B153" s="113" t="str">
        <f aca="false">IF(AI153="","",COUNT($AI$7:AI153))</f>
        <v/>
      </c>
      <c r="C153" s="114"/>
      <c r="D153" s="114"/>
      <c r="E153" s="114"/>
      <c r="F153" s="114"/>
      <c r="G153" s="115"/>
      <c r="H153" s="115"/>
      <c r="I153" s="115"/>
      <c r="J153" s="115"/>
      <c r="K153" s="115"/>
      <c r="L153" s="114"/>
      <c r="M153" s="114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4"/>
      <c r="Y153" s="114"/>
      <c r="Z153" s="115"/>
      <c r="AA153" s="114"/>
      <c r="AB153" s="114"/>
      <c r="AC153" s="115"/>
      <c r="AD153" s="116"/>
      <c r="AE153" s="114"/>
      <c r="AF153" s="114"/>
      <c r="AG153" s="114"/>
      <c r="AH153" s="1"/>
      <c r="AI153" s="95" t="str">
        <f aca="false">IF(INDEX($C:$C,153)&amp;INDEX($D:$D,153)="","",1)</f>
        <v/>
      </c>
      <c r="AJ153" s="95" t="str">
        <f aca="false">IF(OR(AI153="",INDEX($Z:$Z,153)="",INDEX($U:$U,153)="Declined"),"",1)</f>
        <v/>
      </c>
      <c r="AK153" s="95" t="str">
        <f aca="false">IF(AJ153="","",INDEX($Z:$Z,153)&amp;"-"&amp;COUNTIFS($Z$7:Z153,INDEX($Z:$Z,153),$AJ$7:AJ153,1))</f>
        <v/>
      </c>
      <c r="AL153" s="43" t="str">
        <f aca="false">IF(AI153="","",TRIM(INDEX($D:$D,153)&amp;" "&amp;INDEX($C:$C,153))&amp;IF(INDEX($I:$I,153)="Yes"," (child)",""))</f>
        <v/>
      </c>
      <c r="AM153" s="95" t="str">
        <f aca="false">IF(OR(AI153="",INDEX($X:$X,153)="",INDEX($U:$U,153)="Declined"),"",COUNTIFS($X$7:X153,"?*",$U$7:U153,"&lt;&gt;Declined",$AI$7:AI153,1))</f>
        <v/>
      </c>
      <c r="AN153" s="95" t="str">
        <f aca="false">IF(AI153="","",IF(INDEX($L:$L,153)="",1,IF(COUNTIF($L$7:L153,INDEX($L:$L,153))=1,1,"")))</f>
        <v/>
      </c>
      <c r="AO153" s="95" t="str">
        <f aca="false">IF(AN153&lt;&gt;1,"",IF(INDEX($L:$L,153)="",IF(INDEX($S:$S,153)="Yes",1,""),IF(COUNTIFS($L$7:$L$506,INDEX($L:$L,153),$S$7:$S$506,"Yes")&gt;0,1,"")))</f>
        <v/>
      </c>
      <c r="AP153" s="95" t="str">
        <f aca="false">IF(AN153&lt;&gt;1,"",IF(INDEX($L:$L,153)&lt;&gt;"",INDEX($L:$L,153),TRIM(INDEX($D:$D,153)&amp;" "&amp;INDEX($C:$C,153))))</f>
        <v/>
      </c>
      <c r="AQ153" s="43" t="str">
        <f aca="false">IF(OR(AI153="",INDEX($I:$I,153)="Yes"),"",1)</f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customFormat="false" ht="21.75" hidden="false" customHeight="true" outlineLevel="0" collapsed="false">
      <c r="A154" s="1"/>
      <c r="B154" s="113" t="str">
        <f aca="false">IF(AI154="","",COUNT($AI$7:AI154))</f>
        <v/>
      </c>
      <c r="C154" s="114"/>
      <c r="D154" s="114"/>
      <c r="E154" s="114"/>
      <c r="F154" s="114"/>
      <c r="G154" s="115"/>
      <c r="H154" s="115"/>
      <c r="I154" s="115"/>
      <c r="J154" s="115"/>
      <c r="K154" s="115"/>
      <c r="L154" s="114"/>
      <c r="M154" s="114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4"/>
      <c r="Y154" s="114"/>
      <c r="Z154" s="115"/>
      <c r="AA154" s="114"/>
      <c r="AB154" s="114"/>
      <c r="AC154" s="115"/>
      <c r="AD154" s="116"/>
      <c r="AE154" s="114"/>
      <c r="AF154" s="114"/>
      <c r="AG154" s="114"/>
      <c r="AH154" s="1"/>
      <c r="AI154" s="95" t="str">
        <f aca="false">IF(INDEX($C:$C,154)&amp;INDEX($D:$D,154)="","",1)</f>
        <v/>
      </c>
      <c r="AJ154" s="95" t="str">
        <f aca="false">IF(OR(AI154="",INDEX($Z:$Z,154)="",INDEX($U:$U,154)="Declined"),"",1)</f>
        <v/>
      </c>
      <c r="AK154" s="95" t="str">
        <f aca="false">IF(AJ154="","",INDEX($Z:$Z,154)&amp;"-"&amp;COUNTIFS($Z$7:Z154,INDEX($Z:$Z,154),$AJ$7:AJ154,1))</f>
        <v/>
      </c>
      <c r="AL154" s="43" t="str">
        <f aca="false">IF(AI154="","",TRIM(INDEX($D:$D,154)&amp;" "&amp;INDEX($C:$C,154))&amp;IF(INDEX($I:$I,154)="Yes"," (child)",""))</f>
        <v/>
      </c>
      <c r="AM154" s="95" t="str">
        <f aca="false">IF(OR(AI154="",INDEX($X:$X,154)="",INDEX($U:$U,154)="Declined"),"",COUNTIFS($X$7:X154,"?*",$U$7:U154,"&lt;&gt;Declined",$AI$7:AI154,1))</f>
        <v/>
      </c>
      <c r="AN154" s="95" t="str">
        <f aca="false">IF(AI154="","",IF(INDEX($L:$L,154)="",1,IF(COUNTIF($L$7:L154,INDEX($L:$L,154))=1,1,"")))</f>
        <v/>
      </c>
      <c r="AO154" s="95" t="str">
        <f aca="false">IF(AN154&lt;&gt;1,"",IF(INDEX($L:$L,154)="",IF(INDEX($S:$S,154)="Yes",1,""),IF(COUNTIFS($L$7:$L$506,INDEX($L:$L,154),$S$7:$S$506,"Yes")&gt;0,1,"")))</f>
        <v/>
      </c>
      <c r="AP154" s="95" t="str">
        <f aca="false">IF(AN154&lt;&gt;1,"",IF(INDEX($L:$L,154)&lt;&gt;"",INDEX($L:$L,154),TRIM(INDEX($D:$D,154)&amp;" "&amp;INDEX($C:$C,154))))</f>
        <v/>
      </c>
      <c r="AQ154" s="43" t="str">
        <f aca="false">IF(OR(AI154="",INDEX($I:$I,154)="Yes"),"",1)</f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customFormat="false" ht="21.75" hidden="false" customHeight="true" outlineLevel="0" collapsed="false">
      <c r="A155" s="1"/>
      <c r="B155" s="113" t="str">
        <f aca="false">IF(AI155="","",COUNT($AI$7:AI155))</f>
        <v/>
      </c>
      <c r="C155" s="114"/>
      <c r="D155" s="114"/>
      <c r="E155" s="114"/>
      <c r="F155" s="114"/>
      <c r="G155" s="115"/>
      <c r="H155" s="115"/>
      <c r="I155" s="115"/>
      <c r="J155" s="115"/>
      <c r="K155" s="115"/>
      <c r="L155" s="114"/>
      <c r="M155" s="114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4"/>
      <c r="Y155" s="114"/>
      <c r="Z155" s="115"/>
      <c r="AA155" s="114"/>
      <c r="AB155" s="114"/>
      <c r="AC155" s="115"/>
      <c r="AD155" s="116"/>
      <c r="AE155" s="114"/>
      <c r="AF155" s="114"/>
      <c r="AG155" s="114"/>
      <c r="AH155" s="1"/>
      <c r="AI155" s="95" t="str">
        <f aca="false">IF(INDEX($C:$C,155)&amp;INDEX($D:$D,155)="","",1)</f>
        <v/>
      </c>
      <c r="AJ155" s="95" t="str">
        <f aca="false">IF(OR(AI155="",INDEX($Z:$Z,155)="",INDEX($U:$U,155)="Declined"),"",1)</f>
        <v/>
      </c>
      <c r="AK155" s="95" t="str">
        <f aca="false">IF(AJ155="","",INDEX($Z:$Z,155)&amp;"-"&amp;COUNTIFS($Z$7:Z155,INDEX($Z:$Z,155),$AJ$7:AJ155,1))</f>
        <v/>
      </c>
      <c r="AL155" s="43" t="str">
        <f aca="false">IF(AI155="","",TRIM(INDEX($D:$D,155)&amp;" "&amp;INDEX($C:$C,155))&amp;IF(INDEX($I:$I,155)="Yes"," (child)",""))</f>
        <v/>
      </c>
      <c r="AM155" s="95" t="str">
        <f aca="false">IF(OR(AI155="",INDEX($X:$X,155)="",INDEX($U:$U,155)="Declined"),"",COUNTIFS($X$7:X155,"?*",$U$7:U155,"&lt;&gt;Declined",$AI$7:AI155,1))</f>
        <v/>
      </c>
      <c r="AN155" s="95" t="str">
        <f aca="false">IF(AI155="","",IF(INDEX($L:$L,155)="",1,IF(COUNTIF($L$7:L155,INDEX($L:$L,155))=1,1,"")))</f>
        <v/>
      </c>
      <c r="AO155" s="95" t="str">
        <f aca="false">IF(AN155&lt;&gt;1,"",IF(INDEX($L:$L,155)="",IF(INDEX($S:$S,155)="Yes",1,""),IF(COUNTIFS($L$7:$L$506,INDEX($L:$L,155),$S$7:$S$506,"Yes")&gt;0,1,"")))</f>
        <v/>
      </c>
      <c r="AP155" s="95" t="str">
        <f aca="false">IF(AN155&lt;&gt;1,"",IF(INDEX($L:$L,155)&lt;&gt;"",INDEX($L:$L,155),TRIM(INDEX($D:$D,155)&amp;" "&amp;INDEX($C:$C,155))))</f>
        <v/>
      </c>
      <c r="AQ155" s="43" t="str">
        <f aca="false">IF(OR(AI155="",INDEX($I:$I,155)="Yes"),"",1)</f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customFormat="false" ht="21.75" hidden="false" customHeight="true" outlineLevel="0" collapsed="false">
      <c r="A156" s="1"/>
      <c r="B156" s="113" t="str">
        <f aca="false">IF(AI156="","",COUNT($AI$7:AI156))</f>
        <v/>
      </c>
      <c r="C156" s="114"/>
      <c r="D156" s="114"/>
      <c r="E156" s="114"/>
      <c r="F156" s="114"/>
      <c r="G156" s="115"/>
      <c r="H156" s="115"/>
      <c r="I156" s="115"/>
      <c r="J156" s="115"/>
      <c r="K156" s="115"/>
      <c r="L156" s="114"/>
      <c r="M156" s="114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4"/>
      <c r="Y156" s="114"/>
      <c r="Z156" s="115"/>
      <c r="AA156" s="114"/>
      <c r="AB156" s="114"/>
      <c r="AC156" s="115"/>
      <c r="AD156" s="116"/>
      <c r="AE156" s="114"/>
      <c r="AF156" s="114"/>
      <c r="AG156" s="114"/>
      <c r="AH156" s="1"/>
      <c r="AI156" s="95" t="str">
        <f aca="false">IF(INDEX($C:$C,156)&amp;INDEX($D:$D,156)="","",1)</f>
        <v/>
      </c>
      <c r="AJ156" s="95" t="str">
        <f aca="false">IF(OR(AI156="",INDEX($Z:$Z,156)="",INDEX($U:$U,156)="Declined"),"",1)</f>
        <v/>
      </c>
      <c r="AK156" s="95" t="str">
        <f aca="false">IF(AJ156="","",INDEX($Z:$Z,156)&amp;"-"&amp;COUNTIFS($Z$7:Z156,INDEX($Z:$Z,156),$AJ$7:AJ156,1))</f>
        <v/>
      </c>
      <c r="AL156" s="43" t="str">
        <f aca="false">IF(AI156="","",TRIM(INDEX($D:$D,156)&amp;" "&amp;INDEX($C:$C,156))&amp;IF(INDEX($I:$I,156)="Yes"," (child)",""))</f>
        <v/>
      </c>
      <c r="AM156" s="95" t="str">
        <f aca="false">IF(OR(AI156="",INDEX($X:$X,156)="",INDEX($U:$U,156)="Declined"),"",COUNTIFS($X$7:X156,"?*",$U$7:U156,"&lt;&gt;Declined",$AI$7:AI156,1))</f>
        <v/>
      </c>
      <c r="AN156" s="95" t="str">
        <f aca="false">IF(AI156="","",IF(INDEX($L:$L,156)="",1,IF(COUNTIF($L$7:L156,INDEX($L:$L,156))=1,1,"")))</f>
        <v/>
      </c>
      <c r="AO156" s="95" t="str">
        <f aca="false">IF(AN156&lt;&gt;1,"",IF(INDEX($L:$L,156)="",IF(INDEX($S:$S,156)="Yes",1,""),IF(COUNTIFS($L$7:$L$506,INDEX($L:$L,156),$S$7:$S$506,"Yes")&gt;0,1,"")))</f>
        <v/>
      </c>
      <c r="AP156" s="95" t="str">
        <f aca="false">IF(AN156&lt;&gt;1,"",IF(INDEX($L:$L,156)&lt;&gt;"",INDEX($L:$L,156),TRIM(INDEX($D:$D,156)&amp;" "&amp;INDEX($C:$C,156))))</f>
        <v/>
      </c>
      <c r="AQ156" s="43" t="str">
        <f aca="false">IF(OR(AI156="",INDEX($I:$I,156)="Yes"),"",1)</f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customFormat="false" ht="21.75" hidden="false" customHeight="true" outlineLevel="0" collapsed="false">
      <c r="A157" s="1"/>
      <c r="B157" s="113" t="str">
        <f aca="false">IF(AI157="","",COUNT($AI$7:AI157))</f>
        <v/>
      </c>
      <c r="C157" s="114"/>
      <c r="D157" s="114"/>
      <c r="E157" s="114"/>
      <c r="F157" s="114"/>
      <c r="G157" s="115"/>
      <c r="H157" s="115"/>
      <c r="I157" s="115"/>
      <c r="J157" s="115"/>
      <c r="K157" s="115"/>
      <c r="L157" s="114"/>
      <c r="M157" s="114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4"/>
      <c r="Y157" s="114"/>
      <c r="Z157" s="115"/>
      <c r="AA157" s="114"/>
      <c r="AB157" s="114"/>
      <c r="AC157" s="115"/>
      <c r="AD157" s="116"/>
      <c r="AE157" s="114"/>
      <c r="AF157" s="114"/>
      <c r="AG157" s="114"/>
      <c r="AH157" s="1"/>
      <c r="AI157" s="95" t="str">
        <f aca="false">IF(INDEX($C:$C,157)&amp;INDEX($D:$D,157)="","",1)</f>
        <v/>
      </c>
      <c r="AJ157" s="95" t="str">
        <f aca="false">IF(OR(AI157="",INDEX($Z:$Z,157)="",INDEX($U:$U,157)="Declined"),"",1)</f>
        <v/>
      </c>
      <c r="AK157" s="95" t="str">
        <f aca="false">IF(AJ157="","",INDEX($Z:$Z,157)&amp;"-"&amp;COUNTIFS($Z$7:Z157,INDEX($Z:$Z,157),$AJ$7:AJ157,1))</f>
        <v/>
      </c>
      <c r="AL157" s="43" t="str">
        <f aca="false">IF(AI157="","",TRIM(INDEX($D:$D,157)&amp;" "&amp;INDEX($C:$C,157))&amp;IF(INDEX($I:$I,157)="Yes"," (child)",""))</f>
        <v/>
      </c>
      <c r="AM157" s="95" t="str">
        <f aca="false">IF(OR(AI157="",INDEX($X:$X,157)="",INDEX($U:$U,157)="Declined"),"",COUNTIFS($X$7:X157,"?*",$U$7:U157,"&lt;&gt;Declined",$AI$7:AI157,1))</f>
        <v/>
      </c>
      <c r="AN157" s="95" t="str">
        <f aca="false">IF(AI157="","",IF(INDEX($L:$L,157)="",1,IF(COUNTIF($L$7:L157,INDEX($L:$L,157))=1,1,"")))</f>
        <v/>
      </c>
      <c r="AO157" s="95" t="str">
        <f aca="false">IF(AN157&lt;&gt;1,"",IF(INDEX($L:$L,157)="",IF(INDEX($S:$S,157)="Yes",1,""),IF(COUNTIFS($L$7:$L$506,INDEX($L:$L,157),$S$7:$S$506,"Yes")&gt;0,1,"")))</f>
        <v/>
      </c>
      <c r="AP157" s="95" t="str">
        <f aca="false">IF(AN157&lt;&gt;1,"",IF(INDEX($L:$L,157)&lt;&gt;"",INDEX($L:$L,157),TRIM(INDEX($D:$D,157)&amp;" "&amp;INDEX($C:$C,157))))</f>
        <v/>
      </c>
      <c r="AQ157" s="43" t="str">
        <f aca="false">IF(OR(AI157="",INDEX($I:$I,157)="Yes"),"",1)</f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customFormat="false" ht="21.75" hidden="false" customHeight="true" outlineLevel="0" collapsed="false">
      <c r="A158" s="1"/>
      <c r="B158" s="113" t="str">
        <f aca="false">IF(AI158="","",COUNT($AI$7:AI158))</f>
        <v/>
      </c>
      <c r="C158" s="114"/>
      <c r="D158" s="114"/>
      <c r="E158" s="114"/>
      <c r="F158" s="114"/>
      <c r="G158" s="115"/>
      <c r="H158" s="115"/>
      <c r="I158" s="115"/>
      <c r="J158" s="115"/>
      <c r="K158" s="115"/>
      <c r="L158" s="114"/>
      <c r="M158" s="114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4"/>
      <c r="Y158" s="114"/>
      <c r="Z158" s="115"/>
      <c r="AA158" s="114"/>
      <c r="AB158" s="114"/>
      <c r="AC158" s="115"/>
      <c r="AD158" s="116"/>
      <c r="AE158" s="114"/>
      <c r="AF158" s="114"/>
      <c r="AG158" s="114"/>
      <c r="AH158" s="1"/>
      <c r="AI158" s="95" t="str">
        <f aca="false">IF(INDEX($C:$C,158)&amp;INDEX($D:$D,158)="","",1)</f>
        <v/>
      </c>
      <c r="AJ158" s="95" t="str">
        <f aca="false">IF(OR(AI158="",INDEX($Z:$Z,158)="",INDEX($U:$U,158)="Declined"),"",1)</f>
        <v/>
      </c>
      <c r="AK158" s="95" t="str">
        <f aca="false">IF(AJ158="","",INDEX($Z:$Z,158)&amp;"-"&amp;COUNTIFS($Z$7:Z158,INDEX($Z:$Z,158),$AJ$7:AJ158,1))</f>
        <v/>
      </c>
      <c r="AL158" s="43" t="str">
        <f aca="false">IF(AI158="","",TRIM(INDEX($D:$D,158)&amp;" "&amp;INDEX($C:$C,158))&amp;IF(INDEX($I:$I,158)="Yes"," (child)",""))</f>
        <v/>
      </c>
      <c r="AM158" s="95" t="str">
        <f aca="false">IF(OR(AI158="",INDEX($X:$X,158)="",INDEX($U:$U,158)="Declined"),"",COUNTIFS($X$7:X158,"?*",$U$7:U158,"&lt;&gt;Declined",$AI$7:AI158,1))</f>
        <v/>
      </c>
      <c r="AN158" s="95" t="str">
        <f aca="false">IF(AI158="","",IF(INDEX($L:$L,158)="",1,IF(COUNTIF($L$7:L158,INDEX($L:$L,158))=1,1,"")))</f>
        <v/>
      </c>
      <c r="AO158" s="95" t="str">
        <f aca="false">IF(AN158&lt;&gt;1,"",IF(INDEX($L:$L,158)="",IF(INDEX($S:$S,158)="Yes",1,""),IF(COUNTIFS($L$7:$L$506,INDEX($L:$L,158),$S$7:$S$506,"Yes")&gt;0,1,"")))</f>
        <v/>
      </c>
      <c r="AP158" s="95" t="str">
        <f aca="false">IF(AN158&lt;&gt;1,"",IF(INDEX($L:$L,158)&lt;&gt;"",INDEX($L:$L,158),TRIM(INDEX($D:$D,158)&amp;" "&amp;INDEX($C:$C,158))))</f>
        <v/>
      </c>
      <c r="AQ158" s="43" t="str">
        <f aca="false">IF(OR(AI158="",INDEX($I:$I,158)="Yes"),"",1)</f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customFormat="false" ht="21.75" hidden="false" customHeight="true" outlineLevel="0" collapsed="false">
      <c r="A159" s="1"/>
      <c r="B159" s="113" t="str">
        <f aca="false">IF(AI159="","",COUNT($AI$7:AI159))</f>
        <v/>
      </c>
      <c r="C159" s="114"/>
      <c r="D159" s="114"/>
      <c r="E159" s="114"/>
      <c r="F159" s="114"/>
      <c r="G159" s="115"/>
      <c r="H159" s="115"/>
      <c r="I159" s="115"/>
      <c r="J159" s="115"/>
      <c r="K159" s="115"/>
      <c r="L159" s="114"/>
      <c r="M159" s="114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4"/>
      <c r="Y159" s="114"/>
      <c r="Z159" s="115"/>
      <c r="AA159" s="114"/>
      <c r="AB159" s="114"/>
      <c r="AC159" s="115"/>
      <c r="AD159" s="116"/>
      <c r="AE159" s="114"/>
      <c r="AF159" s="114"/>
      <c r="AG159" s="114"/>
      <c r="AH159" s="1"/>
      <c r="AI159" s="95" t="str">
        <f aca="false">IF(INDEX($C:$C,159)&amp;INDEX($D:$D,159)="","",1)</f>
        <v/>
      </c>
      <c r="AJ159" s="95" t="str">
        <f aca="false">IF(OR(AI159="",INDEX($Z:$Z,159)="",INDEX($U:$U,159)="Declined"),"",1)</f>
        <v/>
      </c>
      <c r="AK159" s="95" t="str">
        <f aca="false">IF(AJ159="","",INDEX($Z:$Z,159)&amp;"-"&amp;COUNTIFS($Z$7:Z159,INDEX($Z:$Z,159),$AJ$7:AJ159,1))</f>
        <v/>
      </c>
      <c r="AL159" s="43" t="str">
        <f aca="false">IF(AI159="","",TRIM(INDEX($D:$D,159)&amp;" "&amp;INDEX($C:$C,159))&amp;IF(INDEX($I:$I,159)="Yes"," (child)",""))</f>
        <v/>
      </c>
      <c r="AM159" s="95" t="str">
        <f aca="false">IF(OR(AI159="",INDEX($X:$X,159)="",INDEX($U:$U,159)="Declined"),"",COUNTIFS($X$7:X159,"?*",$U$7:U159,"&lt;&gt;Declined",$AI$7:AI159,1))</f>
        <v/>
      </c>
      <c r="AN159" s="95" t="str">
        <f aca="false">IF(AI159="","",IF(INDEX($L:$L,159)="",1,IF(COUNTIF($L$7:L159,INDEX($L:$L,159))=1,1,"")))</f>
        <v/>
      </c>
      <c r="AO159" s="95" t="str">
        <f aca="false">IF(AN159&lt;&gt;1,"",IF(INDEX($L:$L,159)="",IF(INDEX($S:$S,159)="Yes",1,""),IF(COUNTIFS($L$7:$L$506,INDEX($L:$L,159),$S$7:$S$506,"Yes")&gt;0,1,"")))</f>
        <v/>
      </c>
      <c r="AP159" s="95" t="str">
        <f aca="false">IF(AN159&lt;&gt;1,"",IF(INDEX($L:$L,159)&lt;&gt;"",INDEX($L:$L,159),TRIM(INDEX($D:$D,159)&amp;" "&amp;INDEX($C:$C,159))))</f>
        <v/>
      </c>
      <c r="AQ159" s="43" t="str">
        <f aca="false">IF(OR(AI159="",INDEX($I:$I,159)="Yes"),"",1)</f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customFormat="false" ht="21.75" hidden="false" customHeight="true" outlineLevel="0" collapsed="false">
      <c r="A160" s="1"/>
      <c r="B160" s="113" t="str">
        <f aca="false">IF(AI160="","",COUNT($AI$7:AI160))</f>
        <v/>
      </c>
      <c r="C160" s="114"/>
      <c r="D160" s="114"/>
      <c r="E160" s="114"/>
      <c r="F160" s="114"/>
      <c r="G160" s="115"/>
      <c r="H160" s="115"/>
      <c r="I160" s="115"/>
      <c r="J160" s="115"/>
      <c r="K160" s="115"/>
      <c r="L160" s="114"/>
      <c r="M160" s="114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4"/>
      <c r="Y160" s="114"/>
      <c r="Z160" s="115"/>
      <c r="AA160" s="114"/>
      <c r="AB160" s="114"/>
      <c r="AC160" s="115"/>
      <c r="AD160" s="116"/>
      <c r="AE160" s="114"/>
      <c r="AF160" s="114"/>
      <c r="AG160" s="114"/>
      <c r="AH160" s="1"/>
      <c r="AI160" s="95" t="str">
        <f aca="false">IF(INDEX($C:$C,160)&amp;INDEX($D:$D,160)="","",1)</f>
        <v/>
      </c>
      <c r="AJ160" s="95" t="str">
        <f aca="false">IF(OR(AI160="",INDEX($Z:$Z,160)="",INDEX($U:$U,160)="Declined"),"",1)</f>
        <v/>
      </c>
      <c r="AK160" s="95" t="str">
        <f aca="false">IF(AJ160="","",INDEX($Z:$Z,160)&amp;"-"&amp;COUNTIFS($Z$7:Z160,INDEX($Z:$Z,160),$AJ$7:AJ160,1))</f>
        <v/>
      </c>
      <c r="AL160" s="43" t="str">
        <f aca="false">IF(AI160="","",TRIM(INDEX($D:$D,160)&amp;" "&amp;INDEX($C:$C,160))&amp;IF(INDEX($I:$I,160)="Yes"," (child)",""))</f>
        <v/>
      </c>
      <c r="AM160" s="95" t="str">
        <f aca="false">IF(OR(AI160="",INDEX($X:$X,160)="",INDEX($U:$U,160)="Declined"),"",COUNTIFS($X$7:X160,"?*",$U$7:U160,"&lt;&gt;Declined",$AI$7:AI160,1))</f>
        <v/>
      </c>
      <c r="AN160" s="95" t="str">
        <f aca="false">IF(AI160="","",IF(INDEX($L:$L,160)="",1,IF(COUNTIF($L$7:L160,INDEX($L:$L,160))=1,1,"")))</f>
        <v/>
      </c>
      <c r="AO160" s="95" t="str">
        <f aca="false">IF(AN160&lt;&gt;1,"",IF(INDEX($L:$L,160)="",IF(INDEX($S:$S,160)="Yes",1,""),IF(COUNTIFS($L$7:$L$506,INDEX($L:$L,160),$S$7:$S$506,"Yes")&gt;0,1,"")))</f>
        <v/>
      </c>
      <c r="AP160" s="95" t="str">
        <f aca="false">IF(AN160&lt;&gt;1,"",IF(INDEX($L:$L,160)&lt;&gt;"",INDEX($L:$L,160),TRIM(INDEX($D:$D,160)&amp;" "&amp;INDEX($C:$C,160))))</f>
        <v/>
      </c>
      <c r="AQ160" s="43" t="str">
        <f aca="false">IF(OR(AI160="",INDEX($I:$I,160)="Yes"),"",1)</f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customFormat="false" ht="21.75" hidden="false" customHeight="true" outlineLevel="0" collapsed="false">
      <c r="A161" s="1"/>
      <c r="B161" s="113" t="str">
        <f aca="false">IF(AI161="","",COUNT($AI$7:AI161))</f>
        <v/>
      </c>
      <c r="C161" s="114"/>
      <c r="D161" s="114"/>
      <c r="E161" s="114"/>
      <c r="F161" s="114"/>
      <c r="G161" s="115"/>
      <c r="H161" s="115"/>
      <c r="I161" s="115"/>
      <c r="J161" s="115"/>
      <c r="K161" s="115"/>
      <c r="L161" s="114"/>
      <c r="M161" s="114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4"/>
      <c r="Y161" s="114"/>
      <c r="Z161" s="115"/>
      <c r="AA161" s="114"/>
      <c r="AB161" s="114"/>
      <c r="AC161" s="115"/>
      <c r="AD161" s="116"/>
      <c r="AE161" s="114"/>
      <c r="AF161" s="114"/>
      <c r="AG161" s="114"/>
      <c r="AH161" s="1"/>
      <c r="AI161" s="95" t="str">
        <f aca="false">IF(INDEX($C:$C,161)&amp;INDEX($D:$D,161)="","",1)</f>
        <v/>
      </c>
      <c r="AJ161" s="95" t="str">
        <f aca="false">IF(OR(AI161="",INDEX($Z:$Z,161)="",INDEX($U:$U,161)="Declined"),"",1)</f>
        <v/>
      </c>
      <c r="AK161" s="95" t="str">
        <f aca="false">IF(AJ161="","",INDEX($Z:$Z,161)&amp;"-"&amp;COUNTIFS($Z$7:Z161,INDEX($Z:$Z,161),$AJ$7:AJ161,1))</f>
        <v/>
      </c>
      <c r="AL161" s="43" t="str">
        <f aca="false">IF(AI161="","",TRIM(INDEX($D:$D,161)&amp;" "&amp;INDEX($C:$C,161))&amp;IF(INDEX($I:$I,161)="Yes"," (child)",""))</f>
        <v/>
      </c>
      <c r="AM161" s="95" t="str">
        <f aca="false">IF(OR(AI161="",INDEX($X:$X,161)="",INDEX($U:$U,161)="Declined"),"",COUNTIFS($X$7:X161,"?*",$U$7:U161,"&lt;&gt;Declined",$AI$7:AI161,1))</f>
        <v/>
      </c>
      <c r="AN161" s="95" t="str">
        <f aca="false">IF(AI161="","",IF(INDEX($L:$L,161)="",1,IF(COUNTIF($L$7:L161,INDEX($L:$L,161))=1,1,"")))</f>
        <v/>
      </c>
      <c r="AO161" s="95" t="str">
        <f aca="false">IF(AN161&lt;&gt;1,"",IF(INDEX($L:$L,161)="",IF(INDEX($S:$S,161)="Yes",1,""),IF(COUNTIFS($L$7:$L$506,INDEX($L:$L,161),$S$7:$S$506,"Yes")&gt;0,1,"")))</f>
        <v/>
      </c>
      <c r="AP161" s="95" t="str">
        <f aca="false">IF(AN161&lt;&gt;1,"",IF(INDEX($L:$L,161)&lt;&gt;"",INDEX($L:$L,161),TRIM(INDEX($D:$D,161)&amp;" "&amp;INDEX($C:$C,161))))</f>
        <v/>
      </c>
      <c r="AQ161" s="43" t="str">
        <f aca="false">IF(OR(AI161="",INDEX($I:$I,161)="Yes"),"",1)</f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customFormat="false" ht="21.75" hidden="false" customHeight="true" outlineLevel="0" collapsed="false">
      <c r="A162" s="1"/>
      <c r="B162" s="113" t="str">
        <f aca="false">IF(AI162="","",COUNT($AI$7:AI162))</f>
        <v/>
      </c>
      <c r="C162" s="114"/>
      <c r="D162" s="114"/>
      <c r="E162" s="114"/>
      <c r="F162" s="114"/>
      <c r="G162" s="115"/>
      <c r="H162" s="115"/>
      <c r="I162" s="115"/>
      <c r="J162" s="115"/>
      <c r="K162" s="115"/>
      <c r="L162" s="114"/>
      <c r="M162" s="114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4"/>
      <c r="Y162" s="114"/>
      <c r="Z162" s="115"/>
      <c r="AA162" s="114"/>
      <c r="AB162" s="114"/>
      <c r="AC162" s="115"/>
      <c r="AD162" s="116"/>
      <c r="AE162" s="114"/>
      <c r="AF162" s="114"/>
      <c r="AG162" s="114"/>
      <c r="AH162" s="1"/>
      <c r="AI162" s="95" t="str">
        <f aca="false">IF(INDEX($C:$C,162)&amp;INDEX($D:$D,162)="","",1)</f>
        <v/>
      </c>
      <c r="AJ162" s="95" t="str">
        <f aca="false">IF(OR(AI162="",INDEX($Z:$Z,162)="",INDEX($U:$U,162)="Declined"),"",1)</f>
        <v/>
      </c>
      <c r="AK162" s="95" t="str">
        <f aca="false">IF(AJ162="","",INDEX($Z:$Z,162)&amp;"-"&amp;COUNTIFS($Z$7:Z162,INDEX($Z:$Z,162),$AJ$7:AJ162,1))</f>
        <v/>
      </c>
      <c r="AL162" s="43" t="str">
        <f aca="false">IF(AI162="","",TRIM(INDEX($D:$D,162)&amp;" "&amp;INDEX($C:$C,162))&amp;IF(INDEX($I:$I,162)="Yes"," (child)",""))</f>
        <v/>
      </c>
      <c r="AM162" s="95" t="str">
        <f aca="false">IF(OR(AI162="",INDEX($X:$X,162)="",INDEX($U:$U,162)="Declined"),"",COUNTIFS($X$7:X162,"?*",$U$7:U162,"&lt;&gt;Declined",$AI$7:AI162,1))</f>
        <v/>
      </c>
      <c r="AN162" s="95" t="str">
        <f aca="false">IF(AI162="","",IF(INDEX($L:$L,162)="",1,IF(COUNTIF($L$7:L162,INDEX($L:$L,162))=1,1,"")))</f>
        <v/>
      </c>
      <c r="AO162" s="95" t="str">
        <f aca="false">IF(AN162&lt;&gt;1,"",IF(INDEX($L:$L,162)="",IF(INDEX($S:$S,162)="Yes",1,""),IF(COUNTIFS($L$7:$L$506,INDEX($L:$L,162),$S$7:$S$506,"Yes")&gt;0,1,"")))</f>
        <v/>
      </c>
      <c r="AP162" s="95" t="str">
        <f aca="false">IF(AN162&lt;&gt;1,"",IF(INDEX($L:$L,162)&lt;&gt;"",INDEX($L:$L,162),TRIM(INDEX($D:$D,162)&amp;" "&amp;INDEX($C:$C,162))))</f>
        <v/>
      </c>
      <c r="AQ162" s="43" t="str">
        <f aca="false">IF(OR(AI162="",INDEX($I:$I,162)="Yes"),"",1)</f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customFormat="false" ht="21.75" hidden="false" customHeight="true" outlineLevel="0" collapsed="false">
      <c r="A163" s="1"/>
      <c r="B163" s="113" t="str">
        <f aca="false">IF(AI163="","",COUNT($AI$7:AI163))</f>
        <v/>
      </c>
      <c r="C163" s="114"/>
      <c r="D163" s="114"/>
      <c r="E163" s="114"/>
      <c r="F163" s="114"/>
      <c r="G163" s="115"/>
      <c r="H163" s="115"/>
      <c r="I163" s="115"/>
      <c r="J163" s="115"/>
      <c r="K163" s="115"/>
      <c r="L163" s="114"/>
      <c r="M163" s="114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4"/>
      <c r="Y163" s="114"/>
      <c r="Z163" s="115"/>
      <c r="AA163" s="114"/>
      <c r="AB163" s="114"/>
      <c r="AC163" s="115"/>
      <c r="AD163" s="116"/>
      <c r="AE163" s="114"/>
      <c r="AF163" s="114"/>
      <c r="AG163" s="114"/>
      <c r="AH163" s="1"/>
      <c r="AI163" s="95" t="str">
        <f aca="false">IF(INDEX($C:$C,163)&amp;INDEX($D:$D,163)="","",1)</f>
        <v/>
      </c>
      <c r="AJ163" s="95" t="str">
        <f aca="false">IF(OR(AI163="",INDEX($Z:$Z,163)="",INDEX($U:$U,163)="Declined"),"",1)</f>
        <v/>
      </c>
      <c r="AK163" s="95" t="str">
        <f aca="false">IF(AJ163="","",INDEX($Z:$Z,163)&amp;"-"&amp;COUNTIFS($Z$7:Z163,INDEX($Z:$Z,163),$AJ$7:AJ163,1))</f>
        <v/>
      </c>
      <c r="AL163" s="43" t="str">
        <f aca="false">IF(AI163="","",TRIM(INDEX($D:$D,163)&amp;" "&amp;INDEX($C:$C,163))&amp;IF(INDEX($I:$I,163)="Yes"," (child)",""))</f>
        <v/>
      </c>
      <c r="AM163" s="95" t="str">
        <f aca="false">IF(OR(AI163="",INDEX($X:$X,163)="",INDEX($U:$U,163)="Declined"),"",COUNTIFS($X$7:X163,"?*",$U$7:U163,"&lt;&gt;Declined",$AI$7:AI163,1))</f>
        <v/>
      </c>
      <c r="AN163" s="95" t="str">
        <f aca="false">IF(AI163="","",IF(INDEX($L:$L,163)="",1,IF(COUNTIF($L$7:L163,INDEX($L:$L,163))=1,1,"")))</f>
        <v/>
      </c>
      <c r="AO163" s="95" t="str">
        <f aca="false">IF(AN163&lt;&gt;1,"",IF(INDEX($L:$L,163)="",IF(INDEX($S:$S,163)="Yes",1,""),IF(COUNTIFS($L$7:$L$506,INDEX($L:$L,163),$S$7:$S$506,"Yes")&gt;0,1,"")))</f>
        <v/>
      </c>
      <c r="AP163" s="95" t="str">
        <f aca="false">IF(AN163&lt;&gt;1,"",IF(INDEX($L:$L,163)&lt;&gt;"",INDEX($L:$L,163),TRIM(INDEX($D:$D,163)&amp;" "&amp;INDEX($C:$C,163))))</f>
        <v/>
      </c>
      <c r="AQ163" s="43" t="str">
        <f aca="false">IF(OR(AI163="",INDEX($I:$I,163)="Yes"),"",1)</f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customFormat="false" ht="21.75" hidden="false" customHeight="true" outlineLevel="0" collapsed="false">
      <c r="A164" s="1"/>
      <c r="B164" s="113" t="str">
        <f aca="false">IF(AI164="","",COUNT($AI$7:AI164))</f>
        <v/>
      </c>
      <c r="C164" s="114"/>
      <c r="D164" s="114"/>
      <c r="E164" s="114"/>
      <c r="F164" s="114"/>
      <c r="G164" s="115"/>
      <c r="H164" s="115"/>
      <c r="I164" s="115"/>
      <c r="J164" s="115"/>
      <c r="K164" s="115"/>
      <c r="L164" s="114"/>
      <c r="M164" s="114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4"/>
      <c r="Y164" s="114"/>
      <c r="Z164" s="115"/>
      <c r="AA164" s="114"/>
      <c r="AB164" s="114"/>
      <c r="AC164" s="115"/>
      <c r="AD164" s="116"/>
      <c r="AE164" s="114"/>
      <c r="AF164" s="114"/>
      <c r="AG164" s="114"/>
      <c r="AH164" s="1"/>
      <c r="AI164" s="95" t="str">
        <f aca="false">IF(INDEX($C:$C,164)&amp;INDEX($D:$D,164)="","",1)</f>
        <v/>
      </c>
      <c r="AJ164" s="95" t="str">
        <f aca="false">IF(OR(AI164="",INDEX($Z:$Z,164)="",INDEX($U:$U,164)="Declined"),"",1)</f>
        <v/>
      </c>
      <c r="AK164" s="95" t="str">
        <f aca="false">IF(AJ164="","",INDEX($Z:$Z,164)&amp;"-"&amp;COUNTIFS($Z$7:Z164,INDEX($Z:$Z,164),$AJ$7:AJ164,1))</f>
        <v/>
      </c>
      <c r="AL164" s="43" t="str">
        <f aca="false">IF(AI164="","",TRIM(INDEX($D:$D,164)&amp;" "&amp;INDEX($C:$C,164))&amp;IF(INDEX($I:$I,164)="Yes"," (child)",""))</f>
        <v/>
      </c>
      <c r="AM164" s="95" t="str">
        <f aca="false">IF(OR(AI164="",INDEX($X:$X,164)="",INDEX($U:$U,164)="Declined"),"",COUNTIFS($X$7:X164,"?*",$U$7:U164,"&lt;&gt;Declined",$AI$7:AI164,1))</f>
        <v/>
      </c>
      <c r="AN164" s="95" t="str">
        <f aca="false">IF(AI164="","",IF(INDEX($L:$L,164)="",1,IF(COUNTIF($L$7:L164,INDEX($L:$L,164))=1,1,"")))</f>
        <v/>
      </c>
      <c r="AO164" s="95" t="str">
        <f aca="false">IF(AN164&lt;&gt;1,"",IF(INDEX($L:$L,164)="",IF(INDEX($S:$S,164)="Yes",1,""),IF(COUNTIFS($L$7:$L$506,INDEX($L:$L,164),$S$7:$S$506,"Yes")&gt;0,1,"")))</f>
        <v/>
      </c>
      <c r="AP164" s="95" t="str">
        <f aca="false">IF(AN164&lt;&gt;1,"",IF(INDEX($L:$L,164)&lt;&gt;"",INDEX($L:$L,164),TRIM(INDEX($D:$D,164)&amp;" "&amp;INDEX($C:$C,164))))</f>
        <v/>
      </c>
      <c r="AQ164" s="43" t="str">
        <f aca="false">IF(OR(AI164="",INDEX($I:$I,164)="Yes"),"",1)</f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customFormat="false" ht="21.75" hidden="false" customHeight="true" outlineLevel="0" collapsed="false">
      <c r="A165" s="1"/>
      <c r="B165" s="113" t="str">
        <f aca="false">IF(AI165="","",COUNT($AI$7:AI165))</f>
        <v/>
      </c>
      <c r="C165" s="114"/>
      <c r="D165" s="114"/>
      <c r="E165" s="114"/>
      <c r="F165" s="114"/>
      <c r="G165" s="115"/>
      <c r="H165" s="115"/>
      <c r="I165" s="115"/>
      <c r="J165" s="115"/>
      <c r="K165" s="115"/>
      <c r="L165" s="114"/>
      <c r="M165" s="114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4"/>
      <c r="Y165" s="114"/>
      <c r="Z165" s="115"/>
      <c r="AA165" s="114"/>
      <c r="AB165" s="114"/>
      <c r="AC165" s="115"/>
      <c r="AD165" s="116"/>
      <c r="AE165" s="114"/>
      <c r="AF165" s="114"/>
      <c r="AG165" s="114"/>
      <c r="AH165" s="1"/>
      <c r="AI165" s="95" t="str">
        <f aca="false">IF(INDEX($C:$C,165)&amp;INDEX($D:$D,165)="","",1)</f>
        <v/>
      </c>
      <c r="AJ165" s="95" t="str">
        <f aca="false">IF(OR(AI165="",INDEX($Z:$Z,165)="",INDEX($U:$U,165)="Declined"),"",1)</f>
        <v/>
      </c>
      <c r="AK165" s="95" t="str">
        <f aca="false">IF(AJ165="","",INDEX($Z:$Z,165)&amp;"-"&amp;COUNTIFS($Z$7:Z165,INDEX($Z:$Z,165),$AJ$7:AJ165,1))</f>
        <v/>
      </c>
      <c r="AL165" s="43" t="str">
        <f aca="false">IF(AI165="","",TRIM(INDEX($D:$D,165)&amp;" "&amp;INDEX($C:$C,165))&amp;IF(INDEX($I:$I,165)="Yes"," (child)",""))</f>
        <v/>
      </c>
      <c r="AM165" s="95" t="str">
        <f aca="false">IF(OR(AI165="",INDEX($X:$X,165)="",INDEX($U:$U,165)="Declined"),"",COUNTIFS($X$7:X165,"?*",$U$7:U165,"&lt;&gt;Declined",$AI$7:AI165,1))</f>
        <v/>
      </c>
      <c r="AN165" s="95" t="str">
        <f aca="false">IF(AI165="","",IF(INDEX($L:$L,165)="",1,IF(COUNTIF($L$7:L165,INDEX($L:$L,165))=1,1,"")))</f>
        <v/>
      </c>
      <c r="AO165" s="95" t="str">
        <f aca="false">IF(AN165&lt;&gt;1,"",IF(INDEX($L:$L,165)="",IF(INDEX($S:$S,165)="Yes",1,""),IF(COUNTIFS($L$7:$L$506,INDEX($L:$L,165),$S$7:$S$506,"Yes")&gt;0,1,"")))</f>
        <v/>
      </c>
      <c r="AP165" s="95" t="str">
        <f aca="false">IF(AN165&lt;&gt;1,"",IF(INDEX($L:$L,165)&lt;&gt;"",INDEX($L:$L,165),TRIM(INDEX($D:$D,165)&amp;" "&amp;INDEX($C:$C,165))))</f>
        <v/>
      </c>
      <c r="AQ165" s="43" t="str">
        <f aca="false">IF(OR(AI165="",INDEX($I:$I,165)="Yes"),"",1)</f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customFormat="false" ht="21.75" hidden="false" customHeight="true" outlineLevel="0" collapsed="false">
      <c r="A166" s="1"/>
      <c r="B166" s="113" t="str">
        <f aca="false">IF(AI166="","",COUNT($AI$7:AI166))</f>
        <v/>
      </c>
      <c r="C166" s="114"/>
      <c r="D166" s="114"/>
      <c r="E166" s="114"/>
      <c r="F166" s="114"/>
      <c r="G166" s="115"/>
      <c r="H166" s="115"/>
      <c r="I166" s="115"/>
      <c r="J166" s="115"/>
      <c r="K166" s="115"/>
      <c r="L166" s="114"/>
      <c r="M166" s="114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4"/>
      <c r="Y166" s="114"/>
      <c r="Z166" s="115"/>
      <c r="AA166" s="114"/>
      <c r="AB166" s="114"/>
      <c r="AC166" s="115"/>
      <c r="AD166" s="116"/>
      <c r="AE166" s="114"/>
      <c r="AF166" s="114"/>
      <c r="AG166" s="114"/>
      <c r="AH166" s="1"/>
      <c r="AI166" s="95" t="str">
        <f aca="false">IF(INDEX($C:$C,166)&amp;INDEX($D:$D,166)="","",1)</f>
        <v/>
      </c>
      <c r="AJ166" s="95" t="str">
        <f aca="false">IF(OR(AI166="",INDEX($Z:$Z,166)="",INDEX($U:$U,166)="Declined"),"",1)</f>
        <v/>
      </c>
      <c r="AK166" s="95" t="str">
        <f aca="false">IF(AJ166="","",INDEX($Z:$Z,166)&amp;"-"&amp;COUNTIFS($Z$7:Z166,INDEX($Z:$Z,166),$AJ$7:AJ166,1))</f>
        <v/>
      </c>
      <c r="AL166" s="43" t="str">
        <f aca="false">IF(AI166="","",TRIM(INDEX($D:$D,166)&amp;" "&amp;INDEX($C:$C,166))&amp;IF(INDEX($I:$I,166)="Yes"," (child)",""))</f>
        <v/>
      </c>
      <c r="AM166" s="95" t="str">
        <f aca="false">IF(OR(AI166="",INDEX($X:$X,166)="",INDEX($U:$U,166)="Declined"),"",COUNTIFS($X$7:X166,"?*",$U$7:U166,"&lt;&gt;Declined",$AI$7:AI166,1))</f>
        <v/>
      </c>
      <c r="AN166" s="95" t="str">
        <f aca="false">IF(AI166="","",IF(INDEX($L:$L,166)="",1,IF(COUNTIF($L$7:L166,INDEX($L:$L,166))=1,1,"")))</f>
        <v/>
      </c>
      <c r="AO166" s="95" t="str">
        <f aca="false">IF(AN166&lt;&gt;1,"",IF(INDEX($L:$L,166)="",IF(INDEX($S:$S,166)="Yes",1,""),IF(COUNTIFS($L$7:$L$506,INDEX($L:$L,166),$S$7:$S$506,"Yes")&gt;0,1,"")))</f>
        <v/>
      </c>
      <c r="AP166" s="95" t="str">
        <f aca="false">IF(AN166&lt;&gt;1,"",IF(INDEX($L:$L,166)&lt;&gt;"",INDEX($L:$L,166),TRIM(INDEX($D:$D,166)&amp;" "&amp;INDEX($C:$C,166))))</f>
        <v/>
      </c>
      <c r="AQ166" s="43" t="str">
        <f aca="false">IF(OR(AI166="",INDEX($I:$I,166)="Yes"),"",1)</f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customFormat="false" ht="21.75" hidden="false" customHeight="true" outlineLevel="0" collapsed="false">
      <c r="A167" s="1"/>
      <c r="B167" s="113" t="str">
        <f aca="false">IF(AI167="","",COUNT($AI$7:AI167))</f>
        <v/>
      </c>
      <c r="C167" s="114"/>
      <c r="D167" s="114"/>
      <c r="E167" s="114"/>
      <c r="F167" s="114"/>
      <c r="G167" s="115"/>
      <c r="H167" s="115"/>
      <c r="I167" s="115"/>
      <c r="J167" s="115"/>
      <c r="K167" s="115"/>
      <c r="L167" s="114"/>
      <c r="M167" s="114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4"/>
      <c r="Y167" s="114"/>
      <c r="Z167" s="115"/>
      <c r="AA167" s="114"/>
      <c r="AB167" s="114"/>
      <c r="AC167" s="115"/>
      <c r="AD167" s="116"/>
      <c r="AE167" s="114"/>
      <c r="AF167" s="114"/>
      <c r="AG167" s="114"/>
      <c r="AH167" s="1"/>
      <c r="AI167" s="95" t="str">
        <f aca="false">IF(INDEX($C:$C,167)&amp;INDEX($D:$D,167)="","",1)</f>
        <v/>
      </c>
      <c r="AJ167" s="95" t="str">
        <f aca="false">IF(OR(AI167="",INDEX($Z:$Z,167)="",INDEX($U:$U,167)="Declined"),"",1)</f>
        <v/>
      </c>
      <c r="AK167" s="95" t="str">
        <f aca="false">IF(AJ167="","",INDEX($Z:$Z,167)&amp;"-"&amp;COUNTIFS($Z$7:Z167,INDEX($Z:$Z,167),$AJ$7:AJ167,1))</f>
        <v/>
      </c>
      <c r="AL167" s="43" t="str">
        <f aca="false">IF(AI167="","",TRIM(INDEX($D:$D,167)&amp;" "&amp;INDEX($C:$C,167))&amp;IF(INDEX($I:$I,167)="Yes"," (child)",""))</f>
        <v/>
      </c>
      <c r="AM167" s="95" t="str">
        <f aca="false">IF(OR(AI167="",INDEX($X:$X,167)="",INDEX($U:$U,167)="Declined"),"",COUNTIFS($X$7:X167,"?*",$U$7:U167,"&lt;&gt;Declined",$AI$7:AI167,1))</f>
        <v/>
      </c>
      <c r="AN167" s="95" t="str">
        <f aca="false">IF(AI167="","",IF(INDEX($L:$L,167)="",1,IF(COUNTIF($L$7:L167,INDEX($L:$L,167))=1,1,"")))</f>
        <v/>
      </c>
      <c r="AO167" s="95" t="str">
        <f aca="false">IF(AN167&lt;&gt;1,"",IF(INDEX($L:$L,167)="",IF(INDEX($S:$S,167)="Yes",1,""),IF(COUNTIFS($L$7:$L$506,INDEX($L:$L,167),$S$7:$S$506,"Yes")&gt;0,1,"")))</f>
        <v/>
      </c>
      <c r="AP167" s="95" t="str">
        <f aca="false">IF(AN167&lt;&gt;1,"",IF(INDEX($L:$L,167)&lt;&gt;"",INDEX($L:$L,167),TRIM(INDEX($D:$D,167)&amp;" "&amp;INDEX($C:$C,167))))</f>
        <v/>
      </c>
      <c r="AQ167" s="43" t="str">
        <f aca="false">IF(OR(AI167="",INDEX($I:$I,167)="Yes"),"",1)</f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customFormat="false" ht="21.75" hidden="false" customHeight="true" outlineLevel="0" collapsed="false">
      <c r="A168" s="1"/>
      <c r="B168" s="113" t="str">
        <f aca="false">IF(AI168="","",COUNT($AI$7:AI168))</f>
        <v/>
      </c>
      <c r="C168" s="114"/>
      <c r="D168" s="114"/>
      <c r="E168" s="114"/>
      <c r="F168" s="114"/>
      <c r="G168" s="115"/>
      <c r="H168" s="115"/>
      <c r="I168" s="115"/>
      <c r="J168" s="115"/>
      <c r="K168" s="115"/>
      <c r="L168" s="114"/>
      <c r="M168" s="114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4"/>
      <c r="Y168" s="114"/>
      <c r="Z168" s="115"/>
      <c r="AA168" s="114"/>
      <c r="AB168" s="114"/>
      <c r="AC168" s="115"/>
      <c r="AD168" s="116"/>
      <c r="AE168" s="114"/>
      <c r="AF168" s="114"/>
      <c r="AG168" s="114"/>
      <c r="AH168" s="1"/>
      <c r="AI168" s="95" t="str">
        <f aca="false">IF(INDEX($C:$C,168)&amp;INDEX($D:$D,168)="","",1)</f>
        <v/>
      </c>
      <c r="AJ168" s="95" t="str">
        <f aca="false">IF(OR(AI168="",INDEX($Z:$Z,168)="",INDEX($U:$U,168)="Declined"),"",1)</f>
        <v/>
      </c>
      <c r="AK168" s="95" t="str">
        <f aca="false">IF(AJ168="","",INDEX($Z:$Z,168)&amp;"-"&amp;COUNTIFS($Z$7:Z168,INDEX($Z:$Z,168),$AJ$7:AJ168,1))</f>
        <v/>
      </c>
      <c r="AL168" s="43" t="str">
        <f aca="false">IF(AI168="","",TRIM(INDEX($D:$D,168)&amp;" "&amp;INDEX($C:$C,168))&amp;IF(INDEX($I:$I,168)="Yes"," (child)",""))</f>
        <v/>
      </c>
      <c r="AM168" s="95" t="str">
        <f aca="false">IF(OR(AI168="",INDEX($X:$X,168)="",INDEX($U:$U,168)="Declined"),"",COUNTIFS($X$7:X168,"?*",$U$7:U168,"&lt;&gt;Declined",$AI$7:AI168,1))</f>
        <v/>
      </c>
      <c r="AN168" s="95" t="str">
        <f aca="false">IF(AI168="","",IF(INDEX($L:$L,168)="",1,IF(COUNTIF($L$7:L168,INDEX($L:$L,168))=1,1,"")))</f>
        <v/>
      </c>
      <c r="AO168" s="95" t="str">
        <f aca="false">IF(AN168&lt;&gt;1,"",IF(INDEX($L:$L,168)="",IF(INDEX($S:$S,168)="Yes",1,""),IF(COUNTIFS($L$7:$L$506,INDEX($L:$L,168),$S$7:$S$506,"Yes")&gt;0,1,"")))</f>
        <v/>
      </c>
      <c r="AP168" s="95" t="str">
        <f aca="false">IF(AN168&lt;&gt;1,"",IF(INDEX($L:$L,168)&lt;&gt;"",INDEX($L:$L,168),TRIM(INDEX($D:$D,168)&amp;" "&amp;INDEX($C:$C,168))))</f>
        <v/>
      </c>
      <c r="AQ168" s="43" t="str">
        <f aca="false">IF(OR(AI168="",INDEX($I:$I,168)="Yes"),"",1)</f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customFormat="false" ht="21.75" hidden="false" customHeight="true" outlineLevel="0" collapsed="false">
      <c r="A169" s="1"/>
      <c r="B169" s="113" t="str">
        <f aca="false">IF(AI169="","",COUNT($AI$7:AI169))</f>
        <v/>
      </c>
      <c r="C169" s="114"/>
      <c r="D169" s="114"/>
      <c r="E169" s="114"/>
      <c r="F169" s="114"/>
      <c r="G169" s="115"/>
      <c r="H169" s="115"/>
      <c r="I169" s="115"/>
      <c r="J169" s="115"/>
      <c r="K169" s="115"/>
      <c r="L169" s="114"/>
      <c r="M169" s="114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4"/>
      <c r="Y169" s="114"/>
      <c r="Z169" s="115"/>
      <c r="AA169" s="114"/>
      <c r="AB169" s="114"/>
      <c r="AC169" s="115"/>
      <c r="AD169" s="116"/>
      <c r="AE169" s="114"/>
      <c r="AF169" s="114"/>
      <c r="AG169" s="114"/>
      <c r="AH169" s="1"/>
      <c r="AI169" s="95" t="str">
        <f aca="false">IF(INDEX($C:$C,169)&amp;INDEX($D:$D,169)="","",1)</f>
        <v/>
      </c>
      <c r="AJ169" s="95" t="str">
        <f aca="false">IF(OR(AI169="",INDEX($Z:$Z,169)="",INDEX($U:$U,169)="Declined"),"",1)</f>
        <v/>
      </c>
      <c r="AK169" s="95" t="str">
        <f aca="false">IF(AJ169="","",INDEX($Z:$Z,169)&amp;"-"&amp;COUNTIFS($Z$7:Z169,INDEX($Z:$Z,169),$AJ$7:AJ169,1))</f>
        <v/>
      </c>
      <c r="AL169" s="43" t="str">
        <f aca="false">IF(AI169="","",TRIM(INDEX($D:$D,169)&amp;" "&amp;INDEX($C:$C,169))&amp;IF(INDEX($I:$I,169)="Yes"," (child)",""))</f>
        <v/>
      </c>
      <c r="AM169" s="95" t="str">
        <f aca="false">IF(OR(AI169="",INDEX($X:$X,169)="",INDEX($U:$U,169)="Declined"),"",COUNTIFS($X$7:X169,"?*",$U$7:U169,"&lt;&gt;Declined",$AI$7:AI169,1))</f>
        <v/>
      </c>
      <c r="AN169" s="95" t="str">
        <f aca="false">IF(AI169="","",IF(INDEX($L:$L,169)="",1,IF(COUNTIF($L$7:L169,INDEX($L:$L,169))=1,1,"")))</f>
        <v/>
      </c>
      <c r="AO169" s="95" t="str">
        <f aca="false">IF(AN169&lt;&gt;1,"",IF(INDEX($L:$L,169)="",IF(INDEX($S:$S,169)="Yes",1,""),IF(COUNTIFS($L$7:$L$506,INDEX($L:$L,169),$S$7:$S$506,"Yes")&gt;0,1,"")))</f>
        <v/>
      </c>
      <c r="AP169" s="95" t="str">
        <f aca="false">IF(AN169&lt;&gt;1,"",IF(INDEX($L:$L,169)&lt;&gt;"",INDEX($L:$L,169),TRIM(INDEX($D:$D,169)&amp;" "&amp;INDEX($C:$C,169))))</f>
        <v/>
      </c>
      <c r="AQ169" s="43" t="str">
        <f aca="false">IF(OR(AI169="",INDEX($I:$I,169)="Yes"),"",1)</f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customFormat="false" ht="21.75" hidden="false" customHeight="true" outlineLevel="0" collapsed="false">
      <c r="A170" s="1"/>
      <c r="B170" s="113" t="str">
        <f aca="false">IF(AI170="","",COUNT($AI$7:AI170))</f>
        <v/>
      </c>
      <c r="C170" s="114"/>
      <c r="D170" s="114"/>
      <c r="E170" s="114"/>
      <c r="F170" s="114"/>
      <c r="G170" s="115"/>
      <c r="H170" s="115"/>
      <c r="I170" s="115"/>
      <c r="J170" s="115"/>
      <c r="K170" s="115"/>
      <c r="L170" s="114"/>
      <c r="M170" s="114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4"/>
      <c r="Y170" s="114"/>
      <c r="Z170" s="115"/>
      <c r="AA170" s="114"/>
      <c r="AB170" s="114"/>
      <c r="AC170" s="115"/>
      <c r="AD170" s="116"/>
      <c r="AE170" s="114"/>
      <c r="AF170" s="114"/>
      <c r="AG170" s="114"/>
      <c r="AH170" s="1"/>
      <c r="AI170" s="95" t="str">
        <f aca="false">IF(INDEX($C:$C,170)&amp;INDEX($D:$D,170)="","",1)</f>
        <v/>
      </c>
      <c r="AJ170" s="95" t="str">
        <f aca="false">IF(OR(AI170="",INDEX($Z:$Z,170)="",INDEX($U:$U,170)="Declined"),"",1)</f>
        <v/>
      </c>
      <c r="AK170" s="95" t="str">
        <f aca="false">IF(AJ170="","",INDEX($Z:$Z,170)&amp;"-"&amp;COUNTIFS($Z$7:Z170,INDEX($Z:$Z,170),$AJ$7:AJ170,1))</f>
        <v/>
      </c>
      <c r="AL170" s="43" t="str">
        <f aca="false">IF(AI170="","",TRIM(INDEX($D:$D,170)&amp;" "&amp;INDEX($C:$C,170))&amp;IF(INDEX($I:$I,170)="Yes"," (child)",""))</f>
        <v/>
      </c>
      <c r="AM170" s="95" t="str">
        <f aca="false">IF(OR(AI170="",INDEX($X:$X,170)="",INDEX($U:$U,170)="Declined"),"",COUNTIFS($X$7:X170,"?*",$U$7:U170,"&lt;&gt;Declined",$AI$7:AI170,1))</f>
        <v/>
      </c>
      <c r="AN170" s="95" t="str">
        <f aca="false">IF(AI170="","",IF(INDEX($L:$L,170)="",1,IF(COUNTIF($L$7:L170,INDEX($L:$L,170))=1,1,"")))</f>
        <v/>
      </c>
      <c r="AO170" s="95" t="str">
        <f aca="false">IF(AN170&lt;&gt;1,"",IF(INDEX($L:$L,170)="",IF(INDEX($S:$S,170)="Yes",1,""),IF(COUNTIFS($L$7:$L$506,INDEX($L:$L,170),$S$7:$S$506,"Yes")&gt;0,1,"")))</f>
        <v/>
      </c>
      <c r="AP170" s="95" t="str">
        <f aca="false">IF(AN170&lt;&gt;1,"",IF(INDEX($L:$L,170)&lt;&gt;"",INDEX($L:$L,170),TRIM(INDEX($D:$D,170)&amp;" "&amp;INDEX($C:$C,170))))</f>
        <v/>
      </c>
      <c r="AQ170" s="43" t="str">
        <f aca="false">IF(OR(AI170="",INDEX($I:$I,170)="Yes"),"",1)</f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customFormat="false" ht="21.75" hidden="false" customHeight="true" outlineLevel="0" collapsed="false">
      <c r="A171" s="1"/>
      <c r="B171" s="113" t="str">
        <f aca="false">IF(AI171="","",COUNT($AI$7:AI171))</f>
        <v/>
      </c>
      <c r="C171" s="114"/>
      <c r="D171" s="114"/>
      <c r="E171" s="114"/>
      <c r="F171" s="114"/>
      <c r="G171" s="115"/>
      <c r="H171" s="115"/>
      <c r="I171" s="115"/>
      <c r="J171" s="115"/>
      <c r="K171" s="115"/>
      <c r="L171" s="114"/>
      <c r="M171" s="114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4"/>
      <c r="Y171" s="114"/>
      <c r="Z171" s="115"/>
      <c r="AA171" s="114"/>
      <c r="AB171" s="114"/>
      <c r="AC171" s="115"/>
      <c r="AD171" s="116"/>
      <c r="AE171" s="114"/>
      <c r="AF171" s="114"/>
      <c r="AG171" s="114"/>
      <c r="AH171" s="1"/>
      <c r="AI171" s="95" t="str">
        <f aca="false">IF(INDEX($C:$C,171)&amp;INDEX($D:$D,171)="","",1)</f>
        <v/>
      </c>
      <c r="AJ171" s="95" t="str">
        <f aca="false">IF(OR(AI171="",INDEX($Z:$Z,171)="",INDEX($U:$U,171)="Declined"),"",1)</f>
        <v/>
      </c>
      <c r="AK171" s="95" t="str">
        <f aca="false">IF(AJ171="","",INDEX($Z:$Z,171)&amp;"-"&amp;COUNTIFS($Z$7:Z171,INDEX($Z:$Z,171),$AJ$7:AJ171,1))</f>
        <v/>
      </c>
      <c r="AL171" s="43" t="str">
        <f aca="false">IF(AI171="","",TRIM(INDEX($D:$D,171)&amp;" "&amp;INDEX($C:$C,171))&amp;IF(INDEX($I:$I,171)="Yes"," (child)",""))</f>
        <v/>
      </c>
      <c r="AM171" s="95" t="str">
        <f aca="false">IF(OR(AI171="",INDEX($X:$X,171)="",INDEX($U:$U,171)="Declined"),"",COUNTIFS($X$7:X171,"?*",$U$7:U171,"&lt;&gt;Declined",$AI$7:AI171,1))</f>
        <v/>
      </c>
      <c r="AN171" s="95" t="str">
        <f aca="false">IF(AI171="","",IF(INDEX($L:$L,171)="",1,IF(COUNTIF($L$7:L171,INDEX($L:$L,171))=1,1,"")))</f>
        <v/>
      </c>
      <c r="AO171" s="95" t="str">
        <f aca="false">IF(AN171&lt;&gt;1,"",IF(INDEX($L:$L,171)="",IF(INDEX($S:$S,171)="Yes",1,""),IF(COUNTIFS($L$7:$L$506,INDEX($L:$L,171),$S$7:$S$506,"Yes")&gt;0,1,"")))</f>
        <v/>
      </c>
      <c r="AP171" s="95" t="str">
        <f aca="false">IF(AN171&lt;&gt;1,"",IF(INDEX($L:$L,171)&lt;&gt;"",INDEX($L:$L,171),TRIM(INDEX($D:$D,171)&amp;" "&amp;INDEX($C:$C,171))))</f>
        <v/>
      </c>
      <c r="AQ171" s="43" t="str">
        <f aca="false">IF(OR(AI171="",INDEX($I:$I,171)="Yes"),"",1)</f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customFormat="false" ht="21.75" hidden="false" customHeight="true" outlineLevel="0" collapsed="false">
      <c r="A172" s="1"/>
      <c r="B172" s="113" t="str">
        <f aca="false">IF(AI172="","",COUNT($AI$7:AI172))</f>
        <v/>
      </c>
      <c r="C172" s="114"/>
      <c r="D172" s="114"/>
      <c r="E172" s="114"/>
      <c r="F172" s="114"/>
      <c r="G172" s="115"/>
      <c r="H172" s="115"/>
      <c r="I172" s="115"/>
      <c r="J172" s="115"/>
      <c r="K172" s="115"/>
      <c r="L172" s="114"/>
      <c r="M172" s="114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4"/>
      <c r="Y172" s="114"/>
      <c r="Z172" s="115"/>
      <c r="AA172" s="114"/>
      <c r="AB172" s="114"/>
      <c r="AC172" s="115"/>
      <c r="AD172" s="116"/>
      <c r="AE172" s="114"/>
      <c r="AF172" s="114"/>
      <c r="AG172" s="114"/>
      <c r="AH172" s="1"/>
      <c r="AI172" s="95" t="str">
        <f aca="false">IF(INDEX($C:$C,172)&amp;INDEX($D:$D,172)="","",1)</f>
        <v/>
      </c>
      <c r="AJ172" s="95" t="str">
        <f aca="false">IF(OR(AI172="",INDEX($Z:$Z,172)="",INDEX($U:$U,172)="Declined"),"",1)</f>
        <v/>
      </c>
      <c r="AK172" s="95" t="str">
        <f aca="false">IF(AJ172="","",INDEX($Z:$Z,172)&amp;"-"&amp;COUNTIFS($Z$7:Z172,INDEX($Z:$Z,172),$AJ$7:AJ172,1))</f>
        <v/>
      </c>
      <c r="AL172" s="43" t="str">
        <f aca="false">IF(AI172="","",TRIM(INDEX($D:$D,172)&amp;" "&amp;INDEX($C:$C,172))&amp;IF(INDEX($I:$I,172)="Yes"," (child)",""))</f>
        <v/>
      </c>
      <c r="AM172" s="95" t="str">
        <f aca="false">IF(OR(AI172="",INDEX($X:$X,172)="",INDEX($U:$U,172)="Declined"),"",COUNTIFS($X$7:X172,"?*",$U$7:U172,"&lt;&gt;Declined",$AI$7:AI172,1))</f>
        <v/>
      </c>
      <c r="AN172" s="95" t="str">
        <f aca="false">IF(AI172="","",IF(INDEX($L:$L,172)="",1,IF(COUNTIF($L$7:L172,INDEX($L:$L,172))=1,1,"")))</f>
        <v/>
      </c>
      <c r="AO172" s="95" t="str">
        <f aca="false">IF(AN172&lt;&gt;1,"",IF(INDEX($L:$L,172)="",IF(INDEX($S:$S,172)="Yes",1,""),IF(COUNTIFS($L$7:$L$506,INDEX($L:$L,172),$S$7:$S$506,"Yes")&gt;0,1,"")))</f>
        <v/>
      </c>
      <c r="AP172" s="95" t="str">
        <f aca="false">IF(AN172&lt;&gt;1,"",IF(INDEX($L:$L,172)&lt;&gt;"",INDEX($L:$L,172),TRIM(INDEX($D:$D,172)&amp;" "&amp;INDEX($C:$C,172))))</f>
        <v/>
      </c>
      <c r="AQ172" s="43" t="str">
        <f aca="false">IF(OR(AI172="",INDEX($I:$I,172)="Yes"),"",1)</f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customFormat="false" ht="21.75" hidden="false" customHeight="true" outlineLevel="0" collapsed="false">
      <c r="A173" s="1"/>
      <c r="B173" s="113" t="str">
        <f aca="false">IF(AI173="","",COUNT($AI$7:AI173))</f>
        <v/>
      </c>
      <c r="C173" s="114"/>
      <c r="D173" s="114"/>
      <c r="E173" s="114"/>
      <c r="F173" s="114"/>
      <c r="G173" s="115"/>
      <c r="H173" s="115"/>
      <c r="I173" s="115"/>
      <c r="J173" s="115"/>
      <c r="K173" s="115"/>
      <c r="L173" s="114"/>
      <c r="M173" s="114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4"/>
      <c r="Y173" s="114"/>
      <c r="Z173" s="115"/>
      <c r="AA173" s="114"/>
      <c r="AB173" s="114"/>
      <c r="AC173" s="115"/>
      <c r="AD173" s="116"/>
      <c r="AE173" s="114"/>
      <c r="AF173" s="114"/>
      <c r="AG173" s="114"/>
      <c r="AH173" s="1"/>
      <c r="AI173" s="95" t="str">
        <f aca="false">IF(INDEX($C:$C,173)&amp;INDEX($D:$D,173)="","",1)</f>
        <v/>
      </c>
      <c r="AJ173" s="95" t="str">
        <f aca="false">IF(OR(AI173="",INDEX($Z:$Z,173)="",INDEX($U:$U,173)="Declined"),"",1)</f>
        <v/>
      </c>
      <c r="AK173" s="95" t="str">
        <f aca="false">IF(AJ173="","",INDEX($Z:$Z,173)&amp;"-"&amp;COUNTIFS($Z$7:Z173,INDEX($Z:$Z,173),$AJ$7:AJ173,1))</f>
        <v/>
      </c>
      <c r="AL173" s="43" t="str">
        <f aca="false">IF(AI173="","",TRIM(INDEX($D:$D,173)&amp;" "&amp;INDEX($C:$C,173))&amp;IF(INDEX($I:$I,173)="Yes"," (child)",""))</f>
        <v/>
      </c>
      <c r="AM173" s="95" t="str">
        <f aca="false">IF(OR(AI173="",INDEX($X:$X,173)="",INDEX($U:$U,173)="Declined"),"",COUNTIFS($X$7:X173,"?*",$U$7:U173,"&lt;&gt;Declined",$AI$7:AI173,1))</f>
        <v/>
      </c>
      <c r="AN173" s="95" t="str">
        <f aca="false">IF(AI173="","",IF(INDEX($L:$L,173)="",1,IF(COUNTIF($L$7:L173,INDEX($L:$L,173))=1,1,"")))</f>
        <v/>
      </c>
      <c r="AO173" s="95" t="str">
        <f aca="false">IF(AN173&lt;&gt;1,"",IF(INDEX($L:$L,173)="",IF(INDEX($S:$S,173)="Yes",1,""),IF(COUNTIFS($L$7:$L$506,INDEX($L:$L,173),$S$7:$S$506,"Yes")&gt;0,1,"")))</f>
        <v/>
      </c>
      <c r="AP173" s="95" t="str">
        <f aca="false">IF(AN173&lt;&gt;1,"",IF(INDEX($L:$L,173)&lt;&gt;"",INDEX($L:$L,173),TRIM(INDEX($D:$D,173)&amp;" "&amp;INDEX($C:$C,173))))</f>
        <v/>
      </c>
      <c r="AQ173" s="43" t="str">
        <f aca="false">IF(OR(AI173="",INDEX($I:$I,173)="Yes"),"",1)</f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customFormat="false" ht="21.75" hidden="false" customHeight="true" outlineLevel="0" collapsed="false">
      <c r="A174" s="1"/>
      <c r="B174" s="113" t="str">
        <f aca="false">IF(AI174="","",COUNT($AI$7:AI174))</f>
        <v/>
      </c>
      <c r="C174" s="114"/>
      <c r="D174" s="114"/>
      <c r="E174" s="114"/>
      <c r="F174" s="114"/>
      <c r="G174" s="115"/>
      <c r="H174" s="115"/>
      <c r="I174" s="115"/>
      <c r="J174" s="115"/>
      <c r="K174" s="115"/>
      <c r="L174" s="114"/>
      <c r="M174" s="114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4"/>
      <c r="Y174" s="114"/>
      <c r="Z174" s="115"/>
      <c r="AA174" s="114"/>
      <c r="AB174" s="114"/>
      <c r="AC174" s="115"/>
      <c r="AD174" s="116"/>
      <c r="AE174" s="114"/>
      <c r="AF174" s="114"/>
      <c r="AG174" s="114"/>
      <c r="AH174" s="1"/>
      <c r="AI174" s="95" t="str">
        <f aca="false">IF(INDEX($C:$C,174)&amp;INDEX($D:$D,174)="","",1)</f>
        <v/>
      </c>
      <c r="AJ174" s="95" t="str">
        <f aca="false">IF(OR(AI174="",INDEX($Z:$Z,174)="",INDEX($U:$U,174)="Declined"),"",1)</f>
        <v/>
      </c>
      <c r="AK174" s="95" t="str">
        <f aca="false">IF(AJ174="","",INDEX($Z:$Z,174)&amp;"-"&amp;COUNTIFS($Z$7:Z174,INDEX($Z:$Z,174),$AJ$7:AJ174,1))</f>
        <v/>
      </c>
      <c r="AL174" s="43" t="str">
        <f aca="false">IF(AI174="","",TRIM(INDEX($D:$D,174)&amp;" "&amp;INDEX($C:$C,174))&amp;IF(INDEX($I:$I,174)="Yes"," (child)",""))</f>
        <v/>
      </c>
      <c r="AM174" s="95" t="str">
        <f aca="false">IF(OR(AI174="",INDEX($X:$X,174)="",INDEX($U:$U,174)="Declined"),"",COUNTIFS($X$7:X174,"?*",$U$7:U174,"&lt;&gt;Declined",$AI$7:AI174,1))</f>
        <v/>
      </c>
      <c r="AN174" s="95" t="str">
        <f aca="false">IF(AI174="","",IF(INDEX($L:$L,174)="",1,IF(COUNTIF($L$7:L174,INDEX($L:$L,174))=1,1,"")))</f>
        <v/>
      </c>
      <c r="AO174" s="95" t="str">
        <f aca="false">IF(AN174&lt;&gt;1,"",IF(INDEX($L:$L,174)="",IF(INDEX($S:$S,174)="Yes",1,""),IF(COUNTIFS($L$7:$L$506,INDEX($L:$L,174),$S$7:$S$506,"Yes")&gt;0,1,"")))</f>
        <v/>
      </c>
      <c r="AP174" s="95" t="str">
        <f aca="false">IF(AN174&lt;&gt;1,"",IF(INDEX($L:$L,174)&lt;&gt;"",INDEX($L:$L,174),TRIM(INDEX($D:$D,174)&amp;" "&amp;INDEX($C:$C,174))))</f>
        <v/>
      </c>
      <c r="AQ174" s="43" t="str">
        <f aca="false">IF(OR(AI174="",INDEX($I:$I,174)="Yes"),"",1)</f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customFormat="false" ht="21.75" hidden="false" customHeight="true" outlineLevel="0" collapsed="false">
      <c r="A175" s="1"/>
      <c r="B175" s="113" t="str">
        <f aca="false">IF(AI175="","",COUNT($AI$7:AI175))</f>
        <v/>
      </c>
      <c r="C175" s="114"/>
      <c r="D175" s="114"/>
      <c r="E175" s="114"/>
      <c r="F175" s="114"/>
      <c r="G175" s="115"/>
      <c r="H175" s="115"/>
      <c r="I175" s="115"/>
      <c r="J175" s="115"/>
      <c r="K175" s="115"/>
      <c r="L175" s="114"/>
      <c r="M175" s="114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4"/>
      <c r="Y175" s="114"/>
      <c r="Z175" s="115"/>
      <c r="AA175" s="114"/>
      <c r="AB175" s="114"/>
      <c r="AC175" s="115"/>
      <c r="AD175" s="116"/>
      <c r="AE175" s="114"/>
      <c r="AF175" s="114"/>
      <c r="AG175" s="114"/>
      <c r="AH175" s="1"/>
      <c r="AI175" s="95" t="str">
        <f aca="false">IF(INDEX($C:$C,175)&amp;INDEX($D:$D,175)="","",1)</f>
        <v/>
      </c>
      <c r="AJ175" s="95" t="str">
        <f aca="false">IF(OR(AI175="",INDEX($Z:$Z,175)="",INDEX($U:$U,175)="Declined"),"",1)</f>
        <v/>
      </c>
      <c r="AK175" s="95" t="str">
        <f aca="false">IF(AJ175="","",INDEX($Z:$Z,175)&amp;"-"&amp;COUNTIFS($Z$7:Z175,INDEX($Z:$Z,175),$AJ$7:AJ175,1))</f>
        <v/>
      </c>
      <c r="AL175" s="43" t="str">
        <f aca="false">IF(AI175="","",TRIM(INDEX($D:$D,175)&amp;" "&amp;INDEX($C:$C,175))&amp;IF(INDEX($I:$I,175)="Yes"," (child)",""))</f>
        <v/>
      </c>
      <c r="AM175" s="95" t="str">
        <f aca="false">IF(OR(AI175="",INDEX($X:$X,175)="",INDEX($U:$U,175)="Declined"),"",COUNTIFS($X$7:X175,"?*",$U$7:U175,"&lt;&gt;Declined",$AI$7:AI175,1))</f>
        <v/>
      </c>
      <c r="AN175" s="95" t="str">
        <f aca="false">IF(AI175="","",IF(INDEX($L:$L,175)="",1,IF(COUNTIF($L$7:L175,INDEX($L:$L,175))=1,1,"")))</f>
        <v/>
      </c>
      <c r="AO175" s="95" t="str">
        <f aca="false">IF(AN175&lt;&gt;1,"",IF(INDEX($L:$L,175)="",IF(INDEX($S:$S,175)="Yes",1,""),IF(COUNTIFS($L$7:$L$506,INDEX($L:$L,175),$S$7:$S$506,"Yes")&gt;0,1,"")))</f>
        <v/>
      </c>
      <c r="AP175" s="95" t="str">
        <f aca="false">IF(AN175&lt;&gt;1,"",IF(INDEX($L:$L,175)&lt;&gt;"",INDEX($L:$L,175),TRIM(INDEX($D:$D,175)&amp;" "&amp;INDEX($C:$C,175))))</f>
        <v/>
      </c>
      <c r="AQ175" s="43" t="str">
        <f aca="false">IF(OR(AI175="",INDEX($I:$I,175)="Yes"),"",1)</f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customFormat="false" ht="21.75" hidden="false" customHeight="true" outlineLevel="0" collapsed="false">
      <c r="A176" s="1"/>
      <c r="B176" s="113" t="str">
        <f aca="false">IF(AI176="","",COUNT($AI$7:AI176))</f>
        <v/>
      </c>
      <c r="C176" s="114"/>
      <c r="D176" s="114"/>
      <c r="E176" s="114"/>
      <c r="F176" s="114"/>
      <c r="G176" s="115"/>
      <c r="H176" s="115"/>
      <c r="I176" s="115"/>
      <c r="J176" s="115"/>
      <c r="K176" s="115"/>
      <c r="L176" s="114"/>
      <c r="M176" s="114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4"/>
      <c r="Y176" s="114"/>
      <c r="Z176" s="115"/>
      <c r="AA176" s="114"/>
      <c r="AB176" s="114"/>
      <c r="AC176" s="115"/>
      <c r="AD176" s="116"/>
      <c r="AE176" s="114"/>
      <c r="AF176" s="114"/>
      <c r="AG176" s="114"/>
      <c r="AH176" s="1"/>
      <c r="AI176" s="95" t="str">
        <f aca="false">IF(INDEX($C:$C,176)&amp;INDEX($D:$D,176)="","",1)</f>
        <v/>
      </c>
      <c r="AJ176" s="95" t="str">
        <f aca="false">IF(OR(AI176="",INDEX($Z:$Z,176)="",INDEX($U:$U,176)="Declined"),"",1)</f>
        <v/>
      </c>
      <c r="AK176" s="95" t="str">
        <f aca="false">IF(AJ176="","",INDEX($Z:$Z,176)&amp;"-"&amp;COUNTIFS($Z$7:Z176,INDEX($Z:$Z,176),$AJ$7:AJ176,1))</f>
        <v/>
      </c>
      <c r="AL176" s="43" t="str">
        <f aca="false">IF(AI176="","",TRIM(INDEX($D:$D,176)&amp;" "&amp;INDEX($C:$C,176))&amp;IF(INDEX($I:$I,176)="Yes"," (child)",""))</f>
        <v/>
      </c>
      <c r="AM176" s="95" t="str">
        <f aca="false">IF(OR(AI176="",INDEX($X:$X,176)="",INDEX($U:$U,176)="Declined"),"",COUNTIFS($X$7:X176,"?*",$U$7:U176,"&lt;&gt;Declined",$AI$7:AI176,1))</f>
        <v/>
      </c>
      <c r="AN176" s="95" t="str">
        <f aca="false">IF(AI176="","",IF(INDEX($L:$L,176)="",1,IF(COUNTIF($L$7:L176,INDEX($L:$L,176))=1,1,"")))</f>
        <v/>
      </c>
      <c r="AO176" s="95" t="str">
        <f aca="false">IF(AN176&lt;&gt;1,"",IF(INDEX($L:$L,176)="",IF(INDEX($S:$S,176)="Yes",1,""),IF(COUNTIFS($L$7:$L$506,INDEX($L:$L,176),$S$7:$S$506,"Yes")&gt;0,1,"")))</f>
        <v/>
      </c>
      <c r="AP176" s="95" t="str">
        <f aca="false">IF(AN176&lt;&gt;1,"",IF(INDEX($L:$L,176)&lt;&gt;"",INDEX($L:$L,176),TRIM(INDEX($D:$D,176)&amp;" "&amp;INDEX($C:$C,176))))</f>
        <v/>
      </c>
      <c r="AQ176" s="43" t="str">
        <f aca="false">IF(OR(AI176="",INDEX($I:$I,176)="Yes"),"",1)</f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customFormat="false" ht="21.75" hidden="false" customHeight="true" outlineLevel="0" collapsed="false">
      <c r="A177" s="1"/>
      <c r="B177" s="113" t="str">
        <f aca="false">IF(AI177="","",COUNT($AI$7:AI177))</f>
        <v/>
      </c>
      <c r="C177" s="114"/>
      <c r="D177" s="114"/>
      <c r="E177" s="114"/>
      <c r="F177" s="114"/>
      <c r="G177" s="115"/>
      <c r="H177" s="115"/>
      <c r="I177" s="115"/>
      <c r="J177" s="115"/>
      <c r="K177" s="115"/>
      <c r="L177" s="114"/>
      <c r="M177" s="114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4"/>
      <c r="Y177" s="114"/>
      <c r="Z177" s="115"/>
      <c r="AA177" s="114"/>
      <c r="AB177" s="114"/>
      <c r="AC177" s="115"/>
      <c r="AD177" s="116"/>
      <c r="AE177" s="114"/>
      <c r="AF177" s="114"/>
      <c r="AG177" s="114"/>
      <c r="AH177" s="1"/>
      <c r="AI177" s="95" t="str">
        <f aca="false">IF(INDEX($C:$C,177)&amp;INDEX($D:$D,177)="","",1)</f>
        <v/>
      </c>
      <c r="AJ177" s="95" t="str">
        <f aca="false">IF(OR(AI177="",INDEX($Z:$Z,177)="",INDEX($U:$U,177)="Declined"),"",1)</f>
        <v/>
      </c>
      <c r="AK177" s="95" t="str">
        <f aca="false">IF(AJ177="","",INDEX($Z:$Z,177)&amp;"-"&amp;COUNTIFS($Z$7:Z177,INDEX($Z:$Z,177),$AJ$7:AJ177,1))</f>
        <v/>
      </c>
      <c r="AL177" s="43" t="str">
        <f aca="false">IF(AI177="","",TRIM(INDEX($D:$D,177)&amp;" "&amp;INDEX($C:$C,177))&amp;IF(INDEX($I:$I,177)="Yes"," (child)",""))</f>
        <v/>
      </c>
      <c r="AM177" s="95" t="str">
        <f aca="false">IF(OR(AI177="",INDEX($X:$X,177)="",INDEX($U:$U,177)="Declined"),"",COUNTIFS($X$7:X177,"?*",$U$7:U177,"&lt;&gt;Declined",$AI$7:AI177,1))</f>
        <v/>
      </c>
      <c r="AN177" s="95" t="str">
        <f aca="false">IF(AI177="","",IF(INDEX($L:$L,177)="",1,IF(COUNTIF($L$7:L177,INDEX($L:$L,177))=1,1,"")))</f>
        <v/>
      </c>
      <c r="AO177" s="95" t="str">
        <f aca="false">IF(AN177&lt;&gt;1,"",IF(INDEX($L:$L,177)="",IF(INDEX($S:$S,177)="Yes",1,""),IF(COUNTIFS($L$7:$L$506,INDEX($L:$L,177),$S$7:$S$506,"Yes")&gt;0,1,"")))</f>
        <v/>
      </c>
      <c r="AP177" s="95" t="str">
        <f aca="false">IF(AN177&lt;&gt;1,"",IF(INDEX($L:$L,177)&lt;&gt;"",INDEX($L:$L,177),TRIM(INDEX($D:$D,177)&amp;" "&amp;INDEX($C:$C,177))))</f>
        <v/>
      </c>
      <c r="AQ177" s="43" t="str">
        <f aca="false">IF(OR(AI177="",INDEX($I:$I,177)="Yes"),"",1)</f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customFormat="false" ht="21.75" hidden="false" customHeight="true" outlineLevel="0" collapsed="false">
      <c r="A178" s="1"/>
      <c r="B178" s="113" t="str">
        <f aca="false">IF(AI178="","",COUNT($AI$7:AI178))</f>
        <v/>
      </c>
      <c r="C178" s="114"/>
      <c r="D178" s="114"/>
      <c r="E178" s="114"/>
      <c r="F178" s="114"/>
      <c r="G178" s="115"/>
      <c r="H178" s="115"/>
      <c r="I178" s="115"/>
      <c r="J178" s="115"/>
      <c r="K178" s="115"/>
      <c r="L178" s="114"/>
      <c r="M178" s="114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4"/>
      <c r="Y178" s="114"/>
      <c r="Z178" s="115"/>
      <c r="AA178" s="114"/>
      <c r="AB178" s="114"/>
      <c r="AC178" s="115"/>
      <c r="AD178" s="116"/>
      <c r="AE178" s="114"/>
      <c r="AF178" s="114"/>
      <c r="AG178" s="114"/>
      <c r="AH178" s="1"/>
      <c r="AI178" s="95" t="str">
        <f aca="false">IF(INDEX($C:$C,178)&amp;INDEX($D:$D,178)="","",1)</f>
        <v/>
      </c>
      <c r="AJ178" s="95" t="str">
        <f aca="false">IF(OR(AI178="",INDEX($Z:$Z,178)="",INDEX($U:$U,178)="Declined"),"",1)</f>
        <v/>
      </c>
      <c r="AK178" s="95" t="str">
        <f aca="false">IF(AJ178="","",INDEX($Z:$Z,178)&amp;"-"&amp;COUNTIFS($Z$7:Z178,INDEX($Z:$Z,178),$AJ$7:AJ178,1))</f>
        <v/>
      </c>
      <c r="AL178" s="43" t="str">
        <f aca="false">IF(AI178="","",TRIM(INDEX($D:$D,178)&amp;" "&amp;INDEX($C:$C,178))&amp;IF(INDEX($I:$I,178)="Yes"," (child)",""))</f>
        <v/>
      </c>
      <c r="AM178" s="95" t="str">
        <f aca="false">IF(OR(AI178="",INDEX($X:$X,178)="",INDEX($U:$U,178)="Declined"),"",COUNTIFS($X$7:X178,"?*",$U$7:U178,"&lt;&gt;Declined",$AI$7:AI178,1))</f>
        <v/>
      </c>
      <c r="AN178" s="95" t="str">
        <f aca="false">IF(AI178="","",IF(INDEX($L:$L,178)="",1,IF(COUNTIF($L$7:L178,INDEX($L:$L,178))=1,1,"")))</f>
        <v/>
      </c>
      <c r="AO178" s="95" t="str">
        <f aca="false">IF(AN178&lt;&gt;1,"",IF(INDEX($L:$L,178)="",IF(INDEX($S:$S,178)="Yes",1,""),IF(COUNTIFS($L$7:$L$506,INDEX($L:$L,178),$S$7:$S$506,"Yes")&gt;0,1,"")))</f>
        <v/>
      </c>
      <c r="AP178" s="95" t="str">
        <f aca="false">IF(AN178&lt;&gt;1,"",IF(INDEX($L:$L,178)&lt;&gt;"",INDEX($L:$L,178),TRIM(INDEX($D:$D,178)&amp;" "&amp;INDEX($C:$C,178))))</f>
        <v/>
      </c>
      <c r="AQ178" s="43" t="str">
        <f aca="false">IF(OR(AI178="",INDEX($I:$I,178)="Yes"),"",1)</f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customFormat="false" ht="21.75" hidden="false" customHeight="true" outlineLevel="0" collapsed="false">
      <c r="A179" s="1"/>
      <c r="B179" s="113" t="str">
        <f aca="false">IF(AI179="","",COUNT($AI$7:AI179))</f>
        <v/>
      </c>
      <c r="C179" s="114"/>
      <c r="D179" s="114"/>
      <c r="E179" s="114"/>
      <c r="F179" s="114"/>
      <c r="G179" s="115"/>
      <c r="H179" s="115"/>
      <c r="I179" s="115"/>
      <c r="J179" s="115"/>
      <c r="K179" s="115"/>
      <c r="L179" s="114"/>
      <c r="M179" s="114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4"/>
      <c r="Y179" s="114"/>
      <c r="Z179" s="115"/>
      <c r="AA179" s="114"/>
      <c r="AB179" s="114"/>
      <c r="AC179" s="115"/>
      <c r="AD179" s="116"/>
      <c r="AE179" s="114"/>
      <c r="AF179" s="114"/>
      <c r="AG179" s="114"/>
      <c r="AH179" s="1"/>
      <c r="AI179" s="95" t="str">
        <f aca="false">IF(INDEX($C:$C,179)&amp;INDEX($D:$D,179)="","",1)</f>
        <v/>
      </c>
      <c r="AJ179" s="95" t="str">
        <f aca="false">IF(OR(AI179="",INDEX($Z:$Z,179)="",INDEX($U:$U,179)="Declined"),"",1)</f>
        <v/>
      </c>
      <c r="AK179" s="95" t="str">
        <f aca="false">IF(AJ179="","",INDEX($Z:$Z,179)&amp;"-"&amp;COUNTIFS($Z$7:Z179,INDEX($Z:$Z,179),$AJ$7:AJ179,1))</f>
        <v/>
      </c>
      <c r="AL179" s="43" t="str">
        <f aca="false">IF(AI179="","",TRIM(INDEX($D:$D,179)&amp;" "&amp;INDEX($C:$C,179))&amp;IF(INDEX($I:$I,179)="Yes"," (child)",""))</f>
        <v/>
      </c>
      <c r="AM179" s="95" t="str">
        <f aca="false">IF(OR(AI179="",INDEX($X:$X,179)="",INDEX($U:$U,179)="Declined"),"",COUNTIFS($X$7:X179,"?*",$U$7:U179,"&lt;&gt;Declined",$AI$7:AI179,1))</f>
        <v/>
      </c>
      <c r="AN179" s="95" t="str">
        <f aca="false">IF(AI179="","",IF(INDEX($L:$L,179)="",1,IF(COUNTIF($L$7:L179,INDEX($L:$L,179))=1,1,"")))</f>
        <v/>
      </c>
      <c r="AO179" s="95" t="str">
        <f aca="false">IF(AN179&lt;&gt;1,"",IF(INDEX($L:$L,179)="",IF(INDEX($S:$S,179)="Yes",1,""),IF(COUNTIFS($L$7:$L$506,INDEX($L:$L,179),$S$7:$S$506,"Yes")&gt;0,1,"")))</f>
        <v/>
      </c>
      <c r="AP179" s="95" t="str">
        <f aca="false">IF(AN179&lt;&gt;1,"",IF(INDEX($L:$L,179)&lt;&gt;"",INDEX($L:$L,179),TRIM(INDEX($D:$D,179)&amp;" "&amp;INDEX($C:$C,179))))</f>
        <v/>
      </c>
      <c r="AQ179" s="43" t="str">
        <f aca="false">IF(OR(AI179="",INDEX($I:$I,179)="Yes"),"",1)</f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customFormat="false" ht="21.75" hidden="false" customHeight="true" outlineLevel="0" collapsed="false">
      <c r="A180" s="1"/>
      <c r="B180" s="113" t="str">
        <f aca="false">IF(AI180="","",COUNT($AI$7:AI180))</f>
        <v/>
      </c>
      <c r="C180" s="114"/>
      <c r="D180" s="114"/>
      <c r="E180" s="114"/>
      <c r="F180" s="114"/>
      <c r="G180" s="115"/>
      <c r="H180" s="115"/>
      <c r="I180" s="115"/>
      <c r="J180" s="115"/>
      <c r="K180" s="115"/>
      <c r="L180" s="114"/>
      <c r="M180" s="114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4"/>
      <c r="Y180" s="114"/>
      <c r="Z180" s="115"/>
      <c r="AA180" s="114"/>
      <c r="AB180" s="114"/>
      <c r="AC180" s="115"/>
      <c r="AD180" s="116"/>
      <c r="AE180" s="114"/>
      <c r="AF180" s="114"/>
      <c r="AG180" s="114"/>
      <c r="AH180" s="1"/>
      <c r="AI180" s="95" t="str">
        <f aca="false">IF(INDEX($C:$C,180)&amp;INDEX($D:$D,180)="","",1)</f>
        <v/>
      </c>
      <c r="AJ180" s="95" t="str">
        <f aca="false">IF(OR(AI180="",INDEX($Z:$Z,180)="",INDEX($U:$U,180)="Declined"),"",1)</f>
        <v/>
      </c>
      <c r="AK180" s="95" t="str">
        <f aca="false">IF(AJ180="","",INDEX($Z:$Z,180)&amp;"-"&amp;COUNTIFS($Z$7:Z180,INDEX($Z:$Z,180),$AJ$7:AJ180,1))</f>
        <v/>
      </c>
      <c r="AL180" s="43" t="str">
        <f aca="false">IF(AI180="","",TRIM(INDEX($D:$D,180)&amp;" "&amp;INDEX($C:$C,180))&amp;IF(INDEX($I:$I,180)="Yes"," (child)",""))</f>
        <v/>
      </c>
      <c r="AM180" s="95" t="str">
        <f aca="false">IF(OR(AI180="",INDEX($X:$X,180)="",INDEX($U:$U,180)="Declined"),"",COUNTIFS($X$7:X180,"?*",$U$7:U180,"&lt;&gt;Declined",$AI$7:AI180,1))</f>
        <v/>
      </c>
      <c r="AN180" s="95" t="str">
        <f aca="false">IF(AI180="","",IF(INDEX($L:$L,180)="",1,IF(COUNTIF($L$7:L180,INDEX($L:$L,180))=1,1,"")))</f>
        <v/>
      </c>
      <c r="AO180" s="95" t="str">
        <f aca="false">IF(AN180&lt;&gt;1,"",IF(INDEX($L:$L,180)="",IF(INDEX($S:$S,180)="Yes",1,""),IF(COUNTIFS($L$7:$L$506,INDEX($L:$L,180),$S$7:$S$506,"Yes")&gt;0,1,"")))</f>
        <v/>
      </c>
      <c r="AP180" s="95" t="str">
        <f aca="false">IF(AN180&lt;&gt;1,"",IF(INDEX($L:$L,180)&lt;&gt;"",INDEX($L:$L,180),TRIM(INDEX($D:$D,180)&amp;" "&amp;INDEX($C:$C,180))))</f>
        <v/>
      </c>
      <c r="AQ180" s="43" t="str">
        <f aca="false">IF(OR(AI180="",INDEX($I:$I,180)="Yes"),"",1)</f>
        <v/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customFormat="false" ht="21.75" hidden="false" customHeight="true" outlineLevel="0" collapsed="false">
      <c r="A181" s="1"/>
      <c r="B181" s="113" t="str">
        <f aca="false">IF(AI181="","",COUNT($AI$7:AI181))</f>
        <v/>
      </c>
      <c r="C181" s="114"/>
      <c r="D181" s="114"/>
      <c r="E181" s="114"/>
      <c r="F181" s="114"/>
      <c r="G181" s="115"/>
      <c r="H181" s="115"/>
      <c r="I181" s="115"/>
      <c r="J181" s="115"/>
      <c r="K181" s="115"/>
      <c r="L181" s="114"/>
      <c r="M181" s="114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4"/>
      <c r="Y181" s="114"/>
      <c r="Z181" s="115"/>
      <c r="AA181" s="114"/>
      <c r="AB181" s="114"/>
      <c r="AC181" s="115"/>
      <c r="AD181" s="116"/>
      <c r="AE181" s="114"/>
      <c r="AF181" s="114"/>
      <c r="AG181" s="114"/>
      <c r="AH181" s="1"/>
      <c r="AI181" s="95" t="str">
        <f aca="false">IF(INDEX($C:$C,181)&amp;INDEX($D:$D,181)="","",1)</f>
        <v/>
      </c>
      <c r="AJ181" s="95" t="str">
        <f aca="false">IF(OR(AI181="",INDEX($Z:$Z,181)="",INDEX($U:$U,181)="Declined"),"",1)</f>
        <v/>
      </c>
      <c r="AK181" s="95" t="str">
        <f aca="false">IF(AJ181="","",INDEX($Z:$Z,181)&amp;"-"&amp;COUNTIFS($Z$7:Z181,INDEX($Z:$Z,181),$AJ$7:AJ181,1))</f>
        <v/>
      </c>
      <c r="AL181" s="43" t="str">
        <f aca="false">IF(AI181="","",TRIM(INDEX($D:$D,181)&amp;" "&amp;INDEX($C:$C,181))&amp;IF(INDEX($I:$I,181)="Yes"," (child)",""))</f>
        <v/>
      </c>
      <c r="AM181" s="95" t="str">
        <f aca="false">IF(OR(AI181="",INDEX($X:$X,181)="",INDEX($U:$U,181)="Declined"),"",COUNTIFS($X$7:X181,"?*",$U$7:U181,"&lt;&gt;Declined",$AI$7:AI181,1))</f>
        <v/>
      </c>
      <c r="AN181" s="95" t="str">
        <f aca="false">IF(AI181="","",IF(INDEX($L:$L,181)="",1,IF(COUNTIF($L$7:L181,INDEX($L:$L,181))=1,1,"")))</f>
        <v/>
      </c>
      <c r="AO181" s="95" t="str">
        <f aca="false">IF(AN181&lt;&gt;1,"",IF(INDEX($L:$L,181)="",IF(INDEX($S:$S,181)="Yes",1,""),IF(COUNTIFS($L$7:$L$506,INDEX($L:$L,181),$S$7:$S$506,"Yes")&gt;0,1,"")))</f>
        <v/>
      </c>
      <c r="AP181" s="95" t="str">
        <f aca="false">IF(AN181&lt;&gt;1,"",IF(INDEX($L:$L,181)&lt;&gt;"",INDEX($L:$L,181),TRIM(INDEX($D:$D,181)&amp;" "&amp;INDEX($C:$C,181))))</f>
        <v/>
      </c>
      <c r="AQ181" s="43" t="str">
        <f aca="false">IF(OR(AI181="",INDEX($I:$I,181)="Yes"),"",1)</f>
        <v/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customFormat="false" ht="21.75" hidden="false" customHeight="true" outlineLevel="0" collapsed="false">
      <c r="A182" s="1"/>
      <c r="B182" s="113" t="str">
        <f aca="false">IF(AI182="","",COUNT($AI$7:AI182))</f>
        <v/>
      </c>
      <c r="C182" s="114"/>
      <c r="D182" s="114"/>
      <c r="E182" s="114"/>
      <c r="F182" s="114"/>
      <c r="G182" s="115"/>
      <c r="H182" s="115"/>
      <c r="I182" s="115"/>
      <c r="J182" s="115"/>
      <c r="K182" s="115"/>
      <c r="L182" s="114"/>
      <c r="M182" s="114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4"/>
      <c r="Y182" s="114"/>
      <c r="Z182" s="115"/>
      <c r="AA182" s="114"/>
      <c r="AB182" s="114"/>
      <c r="AC182" s="115"/>
      <c r="AD182" s="116"/>
      <c r="AE182" s="114"/>
      <c r="AF182" s="114"/>
      <c r="AG182" s="114"/>
      <c r="AH182" s="1"/>
      <c r="AI182" s="95" t="str">
        <f aca="false">IF(INDEX($C:$C,182)&amp;INDEX($D:$D,182)="","",1)</f>
        <v/>
      </c>
      <c r="AJ182" s="95" t="str">
        <f aca="false">IF(OR(AI182="",INDEX($Z:$Z,182)="",INDEX($U:$U,182)="Declined"),"",1)</f>
        <v/>
      </c>
      <c r="AK182" s="95" t="str">
        <f aca="false">IF(AJ182="","",INDEX($Z:$Z,182)&amp;"-"&amp;COUNTIFS($Z$7:Z182,INDEX($Z:$Z,182),$AJ$7:AJ182,1))</f>
        <v/>
      </c>
      <c r="AL182" s="43" t="str">
        <f aca="false">IF(AI182="","",TRIM(INDEX($D:$D,182)&amp;" "&amp;INDEX($C:$C,182))&amp;IF(INDEX($I:$I,182)="Yes"," (child)",""))</f>
        <v/>
      </c>
      <c r="AM182" s="95" t="str">
        <f aca="false">IF(OR(AI182="",INDEX($X:$X,182)="",INDEX($U:$U,182)="Declined"),"",COUNTIFS($X$7:X182,"?*",$U$7:U182,"&lt;&gt;Declined",$AI$7:AI182,1))</f>
        <v/>
      </c>
      <c r="AN182" s="95" t="str">
        <f aca="false">IF(AI182="","",IF(INDEX($L:$L,182)="",1,IF(COUNTIF($L$7:L182,INDEX($L:$L,182))=1,1,"")))</f>
        <v/>
      </c>
      <c r="AO182" s="95" t="str">
        <f aca="false">IF(AN182&lt;&gt;1,"",IF(INDEX($L:$L,182)="",IF(INDEX($S:$S,182)="Yes",1,""),IF(COUNTIFS($L$7:$L$506,INDEX($L:$L,182),$S$7:$S$506,"Yes")&gt;0,1,"")))</f>
        <v/>
      </c>
      <c r="AP182" s="95" t="str">
        <f aca="false">IF(AN182&lt;&gt;1,"",IF(INDEX($L:$L,182)&lt;&gt;"",INDEX($L:$L,182),TRIM(INDEX($D:$D,182)&amp;" "&amp;INDEX($C:$C,182))))</f>
        <v/>
      </c>
      <c r="AQ182" s="43" t="str">
        <f aca="false">IF(OR(AI182="",INDEX($I:$I,182)="Yes"),"",1)</f>
        <v/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customFormat="false" ht="21.75" hidden="false" customHeight="true" outlineLevel="0" collapsed="false">
      <c r="A183" s="1"/>
      <c r="B183" s="113" t="str">
        <f aca="false">IF(AI183="","",COUNT($AI$7:AI183))</f>
        <v/>
      </c>
      <c r="C183" s="114"/>
      <c r="D183" s="114"/>
      <c r="E183" s="114"/>
      <c r="F183" s="114"/>
      <c r="G183" s="115"/>
      <c r="H183" s="115"/>
      <c r="I183" s="115"/>
      <c r="J183" s="115"/>
      <c r="K183" s="115"/>
      <c r="L183" s="114"/>
      <c r="M183" s="114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4"/>
      <c r="Y183" s="114"/>
      <c r="Z183" s="115"/>
      <c r="AA183" s="114"/>
      <c r="AB183" s="114"/>
      <c r="AC183" s="115"/>
      <c r="AD183" s="116"/>
      <c r="AE183" s="114"/>
      <c r="AF183" s="114"/>
      <c r="AG183" s="114"/>
      <c r="AH183" s="1"/>
      <c r="AI183" s="95" t="str">
        <f aca="false">IF(INDEX($C:$C,183)&amp;INDEX($D:$D,183)="","",1)</f>
        <v/>
      </c>
      <c r="AJ183" s="95" t="str">
        <f aca="false">IF(OR(AI183="",INDEX($Z:$Z,183)="",INDEX($U:$U,183)="Declined"),"",1)</f>
        <v/>
      </c>
      <c r="AK183" s="95" t="str">
        <f aca="false">IF(AJ183="","",INDEX($Z:$Z,183)&amp;"-"&amp;COUNTIFS($Z$7:Z183,INDEX($Z:$Z,183),$AJ$7:AJ183,1))</f>
        <v/>
      </c>
      <c r="AL183" s="43" t="str">
        <f aca="false">IF(AI183="","",TRIM(INDEX($D:$D,183)&amp;" "&amp;INDEX($C:$C,183))&amp;IF(INDEX($I:$I,183)="Yes"," (child)",""))</f>
        <v/>
      </c>
      <c r="AM183" s="95" t="str">
        <f aca="false">IF(OR(AI183="",INDEX($X:$X,183)="",INDEX($U:$U,183)="Declined"),"",COUNTIFS($X$7:X183,"?*",$U$7:U183,"&lt;&gt;Declined",$AI$7:AI183,1))</f>
        <v/>
      </c>
      <c r="AN183" s="95" t="str">
        <f aca="false">IF(AI183="","",IF(INDEX($L:$L,183)="",1,IF(COUNTIF($L$7:L183,INDEX($L:$L,183))=1,1,"")))</f>
        <v/>
      </c>
      <c r="AO183" s="95" t="str">
        <f aca="false">IF(AN183&lt;&gt;1,"",IF(INDEX($L:$L,183)="",IF(INDEX($S:$S,183)="Yes",1,""),IF(COUNTIFS($L$7:$L$506,INDEX($L:$L,183),$S$7:$S$506,"Yes")&gt;0,1,"")))</f>
        <v/>
      </c>
      <c r="AP183" s="95" t="str">
        <f aca="false">IF(AN183&lt;&gt;1,"",IF(INDEX($L:$L,183)&lt;&gt;"",INDEX($L:$L,183),TRIM(INDEX($D:$D,183)&amp;" "&amp;INDEX($C:$C,183))))</f>
        <v/>
      </c>
      <c r="AQ183" s="43" t="str">
        <f aca="false">IF(OR(AI183="",INDEX($I:$I,183)="Yes"),"",1)</f>
        <v/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customFormat="false" ht="21.75" hidden="false" customHeight="true" outlineLevel="0" collapsed="false">
      <c r="A184" s="1"/>
      <c r="B184" s="113" t="str">
        <f aca="false">IF(AI184="","",COUNT($AI$7:AI184))</f>
        <v/>
      </c>
      <c r="C184" s="114"/>
      <c r="D184" s="114"/>
      <c r="E184" s="114"/>
      <c r="F184" s="114"/>
      <c r="G184" s="115"/>
      <c r="H184" s="115"/>
      <c r="I184" s="115"/>
      <c r="J184" s="115"/>
      <c r="K184" s="115"/>
      <c r="L184" s="114"/>
      <c r="M184" s="114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4"/>
      <c r="Y184" s="114"/>
      <c r="Z184" s="115"/>
      <c r="AA184" s="114"/>
      <c r="AB184" s="114"/>
      <c r="AC184" s="115"/>
      <c r="AD184" s="116"/>
      <c r="AE184" s="114"/>
      <c r="AF184" s="114"/>
      <c r="AG184" s="114"/>
      <c r="AH184" s="1"/>
      <c r="AI184" s="95" t="str">
        <f aca="false">IF(INDEX($C:$C,184)&amp;INDEX($D:$D,184)="","",1)</f>
        <v/>
      </c>
      <c r="AJ184" s="95" t="str">
        <f aca="false">IF(OR(AI184="",INDEX($Z:$Z,184)="",INDEX($U:$U,184)="Declined"),"",1)</f>
        <v/>
      </c>
      <c r="AK184" s="95" t="str">
        <f aca="false">IF(AJ184="","",INDEX($Z:$Z,184)&amp;"-"&amp;COUNTIFS($Z$7:Z184,INDEX($Z:$Z,184),$AJ$7:AJ184,1))</f>
        <v/>
      </c>
      <c r="AL184" s="43" t="str">
        <f aca="false">IF(AI184="","",TRIM(INDEX($D:$D,184)&amp;" "&amp;INDEX($C:$C,184))&amp;IF(INDEX($I:$I,184)="Yes"," (child)",""))</f>
        <v/>
      </c>
      <c r="AM184" s="95" t="str">
        <f aca="false">IF(OR(AI184="",INDEX($X:$X,184)="",INDEX($U:$U,184)="Declined"),"",COUNTIFS($X$7:X184,"?*",$U$7:U184,"&lt;&gt;Declined",$AI$7:AI184,1))</f>
        <v/>
      </c>
      <c r="AN184" s="95" t="str">
        <f aca="false">IF(AI184="","",IF(INDEX($L:$L,184)="",1,IF(COUNTIF($L$7:L184,INDEX($L:$L,184))=1,1,"")))</f>
        <v/>
      </c>
      <c r="AO184" s="95" t="str">
        <f aca="false">IF(AN184&lt;&gt;1,"",IF(INDEX($L:$L,184)="",IF(INDEX($S:$S,184)="Yes",1,""),IF(COUNTIFS($L$7:$L$506,INDEX($L:$L,184),$S$7:$S$506,"Yes")&gt;0,1,"")))</f>
        <v/>
      </c>
      <c r="AP184" s="95" t="str">
        <f aca="false">IF(AN184&lt;&gt;1,"",IF(INDEX($L:$L,184)&lt;&gt;"",INDEX($L:$L,184),TRIM(INDEX($D:$D,184)&amp;" "&amp;INDEX($C:$C,184))))</f>
        <v/>
      </c>
      <c r="AQ184" s="43" t="str">
        <f aca="false">IF(OR(AI184="",INDEX($I:$I,184)="Yes"),"",1)</f>
        <v/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customFormat="false" ht="21.75" hidden="false" customHeight="true" outlineLevel="0" collapsed="false">
      <c r="A185" s="1"/>
      <c r="B185" s="113" t="str">
        <f aca="false">IF(AI185="","",COUNT($AI$7:AI185))</f>
        <v/>
      </c>
      <c r="C185" s="114"/>
      <c r="D185" s="114"/>
      <c r="E185" s="114"/>
      <c r="F185" s="114"/>
      <c r="G185" s="115"/>
      <c r="H185" s="115"/>
      <c r="I185" s="115"/>
      <c r="J185" s="115"/>
      <c r="K185" s="115"/>
      <c r="L185" s="114"/>
      <c r="M185" s="114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4"/>
      <c r="Y185" s="114"/>
      <c r="Z185" s="115"/>
      <c r="AA185" s="114"/>
      <c r="AB185" s="114"/>
      <c r="AC185" s="115"/>
      <c r="AD185" s="116"/>
      <c r="AE185" s="114"/>
      <c r="AF185" s="114"/>
      <c r="AG185" s="114"/>
      <c r="AH185" s="1"/>
      <c r="AI185" s="95" t="str">
        <f aca="false">IF(INDEX($C:$C,185)&amp;INDEX($D:$D,185)="","",1)</f>
        <v/>
      </c>
      <c r="AJ185" s="95" t="str">
        <f aca="false">IF(OR(AI185="",INDEX($Z:$Z,185)="",INDEX($U:$U,185)="Declined"),"",1)</f>
        <v/>
      </c>
      <c r="AK185" s="95" t="str">
        <f aca="false">IF(AJ185="","",INDEX($Z:$Z,185)&amp;"-"&amp;COUNTIFS($Z$7:Z185,INDEX($Z:$Z,185),$AJ$7:AJ185,1))</f>
        <v/>
      </c>
      <c r="AL185" s="43" t="str">
        <f aca="false">IF(AI185="","",TRIM(INDEX($D:$D,185)&amp;" "&amp;INDEX($C:$C,185))&amp;IF(INDEX($I:$I,185)="Yes"," (child)",""))</f>
        <v/>
      </c>
      <c r="AM185" s="95" t="str">
        <f aca="false">IF(OR(AI185="",INDEX($X:$X,185)="",INDEX($U:$U,185)="Declined"),"",COUNTIFS($X$7:X185,"?*",$U$7:U185,"&lt;&gt;Declined",$AI$7:AI185,1))</f>
        <v/>
      </c>
      <c r="AN185" s="95" t="str">
        <f aca="false">IF(AI185="","",IF(INDEX($L:$L,185)="",1,IF(COUNTIF($L$7:L185,INDEX($L:$L,185))=1,1,"")))</f>
        <v/>
      </c>
      <c r="AO185" s="95" t="str">
        <f aca="false">IF(AN185&lt;&gt;1,"",IF(INDEX($L:$L,185)="",IF(INDEX($S:$S,185)="Yes",1,""),IF(COUNTIFS($L$7:$L$506,INDEX($L:$L,185),$S$7:$S$506,"Yes")&gt;0,1,"")))</f>
        <v/>
      </c>
      <c r="AP185" s="95" t="str">
        <f aca="false">IF(AN185&lt;&gt;1,"",IF(INDEX($L:$L,185)&lt;&gt;"",INDEX($L:$L,185),TRIM(INDEX($D:$D,185)&amp;" "&amp;INDEX($C:$C,185))))</f>
        <v/>
      </c>
      <c r="AQ185" s="43" t="str">
        <f aca="false">IF(OR(AI185="",INDEX($I:$I,185)="Yes"),"",1)</f>
        <v/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customFormat="false" ht="21.75" hidden="false" customHeight="true" outlineLevel="0" collapsed="false">
      <c r="A186" s="1"/>
      <c r="B186" s="113" t="str">
        <f aca="false">IF(AI186="","",COUNT($AI$7:AI186))</f>
        <v/>
      </c>
      <c r="C186" s="114"/>
      <c r="D186" s="114"/>
      <c r="E186" s="114"/>
      <c r="F186" s="114"/>
      <c r="G186" s="115"/>
      <c r="H186" s="115"/>
      <c r="I186" s="115"/>
      <c r="J186" s="115"/>
      <c r="K186" s="115"/>
      <c r="L186" s="114"/>
      <c r="M186" s="114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4"/>
      <c r="Y186" s="114"/>
      <c r="Z186" s="115"/>
      <c r="AA186" s="114"/>
      <c r="AB186" s="114"/>
      <c r="AC186" s="115"/>
      <c r="AD186" s="116"/>
      <c r="AE186" s="114"/>
      <c r="AF186" s="114"/>
      <c r="AG186" s="114"/>
      <c r="AH186" s="1"/>
      <c r="AI186" s="95" t="str">
        <f aca="false">IF(INDEX($C:$C,186)&amp;INDEX($D:$D,186)="","",1)</f>
        <v/>
      </c>
      <c r="AJ186" s="95" t="str">
        <f aca="false">IF(OR(AI186="",INDEX($Z:$Z,186)="",INDEX($U:$U,186)="Declined"),"",1)</f>
        <v/>
      </c>
      <c r="AK186" s="95" t="str">
        <f aca="false">IF(AJ186="","",INDEX($Z:$Z,186)&amp;"-"&amp;COUNTIFS($Z$7:Z186,INDEX($Z:$Z,186),$AJ$7:AJ186,1))</f>
        <v/>
      </c>
      <c r="AL186" s="43" t="str">
        <f aca="false">IF(AI186="","",TRIM(INDEX($D:$D,186)&amp;" "&amp;INDEX($C:$C,186))&amp;IF(INDEX($I:$I,186)="Yes"," (child)",""))</f>
        <v/>
      </c>
      <c r="AM186" s="95" t="str">
        <f aca="false">IF(OR(AI186="",INDEX($X:$X,186)="",INDEX($U:$U,186)="Declined"),"",COUNTIFS($X$7:X186,"?*",$U$7:U186,"&lt;&gt;Declined",$AI$7:AI186,1))</f>
        <v/>
      </c>
      <c r="AN186" s="95" t="str">
        <f aca="false">IF(AI186="","",IF(INDEX($L:$L,186)="",1,IF(COUNTIF($L$7:L186,INDEX($L:$L,186))=1,1,"")))</f>
        <v/>
      </c>
      <c r="AO186" s="95" t="str">
        <f aca="false">IF(AN186&lt;&gt;1,"",IF(INDEX($L:$L,186)="",IF(INDEX($S:$S,186)="Yes",1,""),IF(COUNTIFS($L$7:$L$506,INDEX($L:$L,186),$S$7:$S$506,"Yes")&gt;0,1,"")))</f>
        <v/>
      </c>
      <c r="AP186" s="95" t="str">
        <f aca="false">IF(AN186&lt;&gt;1,"",IF(INDEX($L:$L,186)&lt;&gt;"",INDEX($L:$L,186),TRIM(INDEX($D:$D,186)&amp;" "&amp;INDEX($C:$C,186))))</f>
        <v/>
      </c>
      <c r="AQ186" s="43" t="str">
        <f aca="false">IF(OR(AI186="",INDEX($I:$I,186)="Yes"),"",1)</f>
        <v/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customFormat="false" ht="21.75" hidden="false" customHeight="true" outlineLevel="0" collapsed="false">
      <c r="A187" s="1"/>
      <c r="B187" s="113" t="str">
        <f aca="false">IF(AI187="","",COUNT($AI$7:AI187))</f>
        <v/>
      </c>
      <c r="C187" s="114"/>
      <c r="D187" s="114"/>
      <c r="E187" s="114"/>
      <c r="F187" s="114"/>
      <c r="G187" s="115"/>
      <c r="H187" s="115"/>
      <c r="I187" s="115"/>
      <c r="J187" s="115"/>
      <c r="K187" s="115"/>
      <c r="L187" s="114"/>
      <c r="M187" s="114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4"/>
      <c r="Y187" s="114"/>
      <c r="Z187" s="115"/>
      <c r="AA187" s="114"/>
      <c r="AB187" s="114"/>
      <c r="AC187" s="115"/>
      <c r="AD187" s="116"/>
      <c r="AE187" s="114"/>
      <c r="AF187" s="114"/>
      <c r="AG187" s="114"/>
      <c r="AH187" s="1"/>
      <c r="AI187" s="95" t="str">
        <f aca="false">IF(INDEX($C:$C,187)&amp;INDEX($D:$D,187)="","",1)</f>
        <v/>
      </c>
      <c r="AJ187" s="95" t="str">
        <f aca="false">IF(OR(AI187="",INDEX($Z:$Z,187)="",INDEX($U:$U,187)="Declined"),"",1)</f>
        <v/>
      </c>
      <c r="AK187" s="95" t="str">
        <f aca="false">IF(AJ187="","",INDEX($Z:$Z,187)&amp;"-"&amp;COUNTIFS($Z$7:Z187,INDEX($Z:$Z,187),$AJ$7:AJ187,1))</f>
        <v/>
      </c>
      <c r="AL187" s="43" t="str">
        <f aca="false">IF(AI187="","",TRIM(INDEX($D:$D,187)&amp;" "&amp;INDEX($C:$C,187))&amp;IF(INDEX($I:$I,187)="Yes"," (child)",""))</f>
        <v/>
      </c>
      <c r="AM187" s="95" t="str">
        <f aca="false">IF(OR(AI187="",INDEX($X:$X,187)="",INDEX($U:$U,187)="Declined"),"",COUNTIFS($X$7:X187,"?*",$U$7:U187,"&lt;&gt;Declined",$AI$7:AI187,1))</f>
        <v/>
      </c>
      <c r="AN187" s="95" t="str">
        <f aca="false">IF(AI187="","",IF(INDEX($L:$L,187)="",1,IF(COUNTIF($L$7:L187,INDEX($L:$L,187))=1,1,"")))</f>
        <v/>
      </c>
      <c r="AO187" s="95" t="str">
        <f aca="false">IF(AN187&lt;&gt;1,"",IF(INDEX($L:$L,187)="",IF(INDEX($S:$S,187)="Yes",1,""),IF(COUNTIFS($L$7:$L$506,INDEX($L:$L,187),$S$7:$S$506,"Yes")&gt;0,1,"")))</f>
        <v/>
      </c>
      <c r="AP187" s="95" t="str">
        <f aca="false">IF(AN187&lt;&gt;1,"",IF(INDEX($L:$L,187)&lt;&gt;"",INDEX($L:$L,187),TRIM(INDEX($D:$D,187)&amp;" "&amp;INDEX($C:$C,187))))</f>
        <v/>
      </c>
      <c r="AQ187" s="43" t="str">
        <f aca="false">IF(OR(AI187="",INDEX($I:$I,187)="Yes"),"",1)</f>
        <v/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customFormat="false" ht="21.75" hidden="false" customHeight="true" outlineLevel="0" collapsed="false">
      <c r="A188" s="1"/>
      <c r="B188" s="113" t="str">
        <f aca="false">IF(AI188="","",COUNT($AI$7:AI188))</f>
        <v/>
      </c>
      <c r="C188" s="114"/>
      <c r="D188" s="114"/>
      <c r="E188" s="114"/>
      <c r="F188" s="114"/>
      <c r="G188" s="115"/>
      <c r="H188" s="115"/>
      <c r="I188" s="115"/>
      <c r="J188" s="115"/>
      <c r="K188" s="115"/>
      <c r="L188" s="114"/>
      <c r="M188" s="114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4"/>
      <c r="Y188" s="114"/>
      <c r="Z188" s="115"/>
      <c r="AA188" s="114"/>
      <c r="AB188" s="114"/>
      <c r="AC188" s="115"/>
      <c r="AD188" s="116"/>
      <c r="AE188" s="114"/>
      <c r="AF188" s="114"/>
      <c r="AG188" s="114"/>
      <c r="AH188" s="1"/>
      <c r="AI188" s="95" t="str">
        <f aca="false">IF(INDEX($C:$C,188)&amp;INDEX($D:$D,188)="","",1)</f>
        <v/>
      </c>
      <c r="AJ188" s="95" t="str">
        <f aca="false">IF(OR(AI188="",INDEX($Z:$Z,188)="",INDEX($U:$U,188)="Declined"),"",1)</f>
        <v/>
      </c>
      <c r="AK188" s="95" t="str">
        <f aca="false">IF(AJ188="","",INDEX($Z:$Z,188)&amp;"-"&amp;COUNTIFS($Z$7:Z188,INDEX($Z:$Z,188),$AJ$7:AJ188,1))</f>
        <v/>
      </c>
      <c r="AL188" s="43" t="str">
        <f aca="false">IF(AI188="","",TRIM(INDEX($D:$D,188)&amp;" "&amp;INDEX($C:$C,188))&amp;IF(INDEX($I:$I,188)="Yes"," (child)",""))</f>
        <v/>
      </c>
      <c r="AM188" s="95" t="str">
        <f aca="false">IF(OR(AI188="",INDEX($X:$X,188)="",INDEX($U:$U,188)="Declined"),"",COUNTIFS($X$7:X188,"?*",$U$7:U188,"&lt;&gt;Declined",$AI$7:AI188,1))</f>
        <v/>
      </c>
      <c r="AN188" s="95" t="str">
        <f aca="false">IF(AI188="","",IF(INDEX($L:$L,188)="",1,IF(COUNTIF($L$7:L188,INDEX($L:$L,188))=1,1,"")))</f>
        <v/>
      </c>
      <c r="AO188" s="95" t="str">
        <f aca="false">IF(AN188&lt;&gt;1,"",IF(INDEX($L:$L,188)="",IF(INDEX($S:$S,188)="Yes",1,""),IF(COUNTIFS($L$7:$L$506,INDEX($L:$L,188),$S$7:$S$506,"Yes")&gt;0,1,"")))</f>
        <v/>
      </c>
      <c r="AP188" s="95" t="str">
        <f aca="false">IF(AN188&lt;&gt;1,"",IF(INDEX($L:$L,188)&lt;&gt;"",INDEX($L:$L,188),TRIM(INDEX($D:$D,188)&amp;" "&amp;INDEX($C:$C,188))))</f>
        <v/>
      </c>
      <c r="AQ188" s="43" t="str">
        <f aca="false">IF(OR(AI188="",INDEX($I:$I,188)="Yes"),"",1)</f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customFormat="false" ht="21.75" hidden="false" customHeight="true" outlineLevel="0" collapsed="false">
      <c r="A189" s="1"/>
      <c r="B189" s="113" t="str">
        <f aca="false">IF(AI189="","",COUNT($AI$7:AI189))</f>
        <v/>
      </c>
      <c r="C189" s="114"/>
      <c r="D189" s="114"/>
      <c r="E189" s="114"/>
      <c r="F189" s="114"/>
      <c r="G189" s="115"/>
      <c r="H189" s="115"/>
      <c r="I189" s="115"/>
      <c r="J189" s="115"/>
      <c r="K189" s="115"/>
      <c r="L189" s="114"/>
      <c r="M189" s="114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4"/>
      <c r="Y189" s="114"/>
      <c r="Z189" s="115"/>
      <c r="AA189" s="114"/>
      <c r="AB189" s="114"/>
      <c r="AC189" s="115"/>
      <c r="AD189" s="116"/>
      <c r="AE189" s="114"/>
      <c r="AF189" s="114"/>
      <c r="AG189" s="114"/>
      <c r="AH189" s="1"/>
      <c r="AI189" s="95" t="str">
        <f aca="false">IF(INDEX($C:$C,189)&amp;INDEX($D:$D,189)="","",1)</f>
        <v/>
      </c>
      <c r="AJ189" s="95" t="str">
        <f aca="false">IF(OR(AI189="",INDEX($Z:$Z,189)="",INDEX($U:$U,189)="Declined"),"",1)</f>
        <v/>
      </c>
      <c r="AK189" s="95" t="str">
        <f aca="false">IF(AJ189="","",INDEX($Z:$Z,189)&amp;"-"&amp;COUNTIFS($Z$7:Z189,INDEX($Z:$Z,189),$AJ$7:AJ189,1))</f>
        <v/>
      </c>
      <c r="AL189" s="43" t="str">
        <f aca="false">IF(AI189="","",TRIM(INDEX($D:$D,189)&amp;" "&amp;INDEX($C:$C,189))&amp;IF(INDEX($I:$I,189)="Yes"," (child)",""))</f>
        <v/>
      </c>
      <c r="AM189" s="95" t="str">
        <f aca="false">IF(OR(AI189="",INDEX($X:$X,189)="",INDEX($U:$U,189)="Declined"),"",COUNTIFS($X$7:X189,"?*",$U$7:U189,"&lt;&gt;Declined",$AI$7:AI189,1))</f>
        <v/>
      </c>
      <c r="AN189" s="95" t="str">
        <f aca="false">IF(AI189="","",IF(INDEX($L:$L,189)="",1,IF(COUNTIF($L$7:L189,INDEX($L:$L,189))=1,1,"")))</f>
        <v/>
      </c>
      <c r="AO189" s="95" t="str">
        <f aca="false">IF(AN189&lt;&gt;1,"",IF(INDEX($L:$L,189)="",IF(INDEX($S:$S,189)="Yes",1,""),IF(COUNTIFS($L$7:$L$506,INDEX($L:$L,189),$S$7:$S$506,"Yes")&gt;0,1,"")))</f>
        <v/>
      </c>
      <c r="AP189" s="95" t="str">
        <f aca="false">IF(AN189&lt;&gt;1,"",IF(INDEX($L:$L,189)&lt;&gt;"",INDEX($L:$L,189),TRIM(INDEX($D:$D,189)&amp;" "&amp;INDEX($C:$C,189))))</f>
        <v/>
      </c>
      <c r="AQ189" s="43" t="str">
        <f aca="false">IF(OR(AI189="",INDEX($I:$I,189)="Yes"),"",1)</f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customFormat="false" ht="21.75" hidden="false" customHeight="true" outlineLevel="0" collapsed="false">
      <c r="A190" s="1"/>
      <c r="B190" s="113" t="str">
        <f aca="false">IF(AI190="","",COUNT($AI$7:AI190))</f>
        <v/>
      </c>
      <c r="C190" s="114"/>
      <c r="D190" s="114"/>
      <c r="E190" s="114"/>
      <c r="F190" s="114"/>
      <c r="G190" s="115"/>
      <c r="H190" s="115"/>
      <c r="I190" s="115"/>
      <c r="J190" s="115"/>
      <c r="K190" s="115"/>
      <c r="L190" s="114"/>
      <c r="M190" s="114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4"/>
      <c r="Y190" s="114"/>
      <c r="Z190" s="115"/>
      <c r="AA190" s="114"/>
      <c r="AB190" s="114"/>
      <c r="AC190" s="115"/>
      <c r="AD190" s="116"/>
      <c r="AE190" s="114"/>
      <c r="AF190" s="114"/>
      <c r="AG190" s="114"/>
      <c r="AH190" s="1"/>
      <c r="AI190" s="95" t="str">
        <f aca="false">IF(INDEX($C:$C,190)&amp;INDEX($D:$D,190)="","",1)</f>
        <v/>
      </c>
      <c r="AJ190" s="95" t="str">
        <f aca="false">IF(OR(AI190="",INDEX($Z:$Z,190)="",INDEX($U:$U,190)="Declined"),"",1)</f>
        <v/>
      </c>
      <c r="AK190" s="95" t="str">
        <f aca="false">IF(AJ190="","",INDEX($Z:$Z,190)&amp;"-"&amp;COUNTIFS($Z$7:Z190,INDEX($Z:$Z,190),$AJ$7:AJ190,1))</f>
        <v/>
      </c>
      <c r="AL190" s="43" t="str">
        <f aca="false">IF(AI190="","",TRIM(INDEX($D:$D,190)&amp;" "&amp;INDEX($C:$C,190))&amp;IF(INDEX($I:$I,190)="Yes"," (child)",""))</f>
        <v/>
      </c>
      <c r="AM190" s="95" t="str">
        <f aca="false">IF(OR(AI190="",INDEX($X:$X,190)="",INDEX($U:$U,190)="Declined"),"",COUNTIFS($X$7:X190,"?*",$U$7:U190,"&lt;&gt;Declined",$AI$7:AI190,1))</f>
        <v/>
      </c>
      <c r="AN190" s="95" t="str">
        <f aca="false">IF(AI190="","",IF(INDEX($L:$L,190)="",1,IF(COUNTIF($L$7:L190,INDEX($L:$L,190))=1,1,"")))</f>
        <v/>
      </c>
      <c r="AO190" s="95" t="str">
        <f aca="false">IF(AN190&lt;&gt;1,"",IF(INDEX($L:$L,190)="",IF(INDEX($S:$S,190)="Yes",1,""),IF(COUNTIFS($L$7:$L$506,INDEX($L:$L,190),$S$7:$S$506,"Yes")&gt;0,1,"")))</f>
        <v/>
      </c>
      <c r="AP190" s="95" t="str">
        <f aca="false">IF(AN190&lt;&gt;1,"",IF(INDEX($L:$L,190)&lt;&gt;"",INDEX($L:$L,190),TRIM(INDEX($D:$D,190)&amp;" "&amp;INDEX($C:$C,190))))</f>
        <v/>
      </c>
      <c r="AQ190" s="43" t="str">
        <f aca="false">IF(OR(AI190="",INDEX($I:$I,190)="Yes"),"",1)</f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customFormat="false" ht="21.75" hidden="false" customHeight="true" outlineLevel="0" collapsed="false">
      <c r="A191" s="1"/>
      <c r="B191" s="113" t="str">
        <f aca="false">IF(AI191="","",COUNT($AI$7:AI191))</f>
        <v/>
      </c>
      <c r="C191" s="114"/>
      <c r="D191" s="114"/>
      <c r="E191" s="114"/>
      <c r="F191" s="114"/>
      <c r="G191" s="115"/>
      <c r="H191" s="115"/>
      <c r="I191" s="115"/>
      <c r="J191" s="115"/>
      <c r="K191" s="115"/>
      <c r="L191" s="114"/>
      <c r="M191" s="114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4"/>
      <c r="Y191" s="114"/>
      <c r="Z191" s="115"/>
      <c r="AA191" s="114"/>
      <c r="AB191" s="114"/>
      <c r="AC191" s="115"/>
      <c r="AD191" s="116"/>
      <c r="AE191" s="114"/>
      <c r="AF191" s="114"/>
      <c r="AG191" s="114"/>
      <c r="AH191" s="1"/>
      <c r="AI191" s="95" t="str">
        <f aca="false">IF(INDEX($C:$C,191)&amp;INDEX($D:$D,191)="","",1)</f>
        <v/>
      </c>
      <c r="AJ191" s="95" t="str">
        <f aca="false">IF(OR(AI191="",INDEX($Z:$Z,191)="",INDEX($U:$U,191)="Declined"),"",1)</f>
        <v/>
      </c>
      <c r="AK191" s="95" t="str">
        <f aca="false">IF(AJ191="","",INDEX($Z:$Z,191)&amp;"-"&amp;COUNTIFS($Z$7:Z191,INDEX($Z:$Z,191),$AJ$7:AJ191,1))</f>
        <v/>
      </c>
      <c r="AL191" s="43" t="str">
        <f aca="false">IF(AI191="","",TRIM(INDEX($D:$D,191)&amp;" "&amp;INDEX($C:$C,191))&amp;IF(INDEX($I:$I,191)="Yes"," (child)",""))</f>
        <v/>
      </c>
      <c r="AM191" s="95" t="str">
        <f aca="false">IF(OR(AI191="",INDEX($X:$X,191)="",INDEX($U:$U,191)="Declined"),"",COUNTIFS($X$7:X191,"?*",$U$7:U191,"&lt;&gt;Declined",$AI$7:AI191,1))</f>
        <v/>
      </c>
      <c r="AN191" s="95" t="str">
        <f aca="false">IF(AI191="","",IF(INDEX($L:$L,191)="",1,IF(COUNTIF($L$7:L191,INDEX($L:$L,191))=1,1,"")))</f>
        <v/>
      </c>
      <c r="AO191" s="95" t="str">
        <f aca="false">IF(AN191&lt;&gt;1,"",IF(INDEX($L:$L,191)="",IF(INDEX($S:$S,191)="Yes",1,""),IF(COUNTIFS($L$7:$L$506,INDEX($L:$L,191),$S$7:$S$506,"Yes")&gt;0,1,"")))</f>
        <v/>
      </c>
      <c r="AP191" s="95" t="str">
        <f aca="false">IF(AN191&lt;&gt;1,"",IF(INDEX($L:$L,191)&lt;&gt;"",INDEX($L:$L,191),TRIM(INDEX($D:$D,191)&amp;" "&amp;INDEX($C:$C,191))))</f>
        <v/>
      </c>
      <c r="AQ191" s="43" t="str">
        <f aca="false">IF(OR(AI191="",INDEX($I:$I,191)="Yes"),"",1)</f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customFormat="false" ht="21.75" hidden="false" customHeight="true" outlineLevel="0" collapsed="false">
      <c r="A192" s="1"/>
      <c r="B192" s="113" t="str">
        <f aca="false">IF(AI192="","",COUNT($AI$7:AI192))</f>
        <v/>
      </c>
      <c r="C192" s="114"/>
      <c r="D192" s="114"/>
      <c r="E192" s="114"/>
      <c r="F192" s="114"/>
      <c r="G192" s="115"/>
      <c r="H192" s="115"/>
      <c r="I192" s="115"/>
      <c r="J192" s="115"/>
      <c r="K192" s="115"/>
      <c r="L192" s="114"/>
      <c r="M192" s="114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4"/>
      <c r="Y192" s="114"/>
      <c r="Z192" s="115"/>
      <c r="AA192" s="114"/>
      <c r="AB192" s="114"/>
      <c r="AC192" s="115"/>
      <c r="AD192" s="116"/>
      <c r="AE192" s="114"/>
      <c r="AF192" s="114"/>
      <c r="AG192" s="114"/>
      <c r="AH192" s="1"/>
      <c r="AI192" s="95" t="str">
        <f aca="false">IF(INDEX($C:$C,192)&amp;INDEX($D:$D,192)="","",1)</f>
        <v/>
      </c>
      <c r="AJ192" s="95" t="str">
        <f aca="false">IF(OR(AI192="",INDEX($Z:$Z,192)="",INDEX($U:$U,192)="Declined"),"",1)</f>
        <v/>
      </c>
      <c r="AK192" s="95" t="str">
        <f aca="false">IF(AJ192="","",INDEX($Z:$Z,192)&amp;"-"&amp;COUNTIFS($Z$7:Z192,INDEX($Z:$Z,192),$AJ$7:AJ192,1))</f>
        <v/>
      </c>
      <c r="AL192" s="43" t="str">
        <f aca="false">IF(AI192="","",TRIM(INDEX($D:$D,192)&amp;" "&amp;INDEX($C:$C,192))&amp;IF(INDEX($I:$I,192)="Yes"," (child)",""))</f>
        <v/>
      </c>
      <c r="AM192" s="95" t="str">
        <f aca="false">IF(OR(AI192="",INDEX($X:$X,192)="",INDEX($U:$U,192)="Declined"),"",COUNTIFS($X$7:X192,"?*",$U$7:U192,"&lt;&gt;Declined",$AI$7:AI192,1))</f>
        <v/>
      </c>
      <c r="AN192" s="95" t="str">
        <f aca="false">IF(AI192="","",IF(INDEX($L:$L,192)="",1,IF(COUNTIF($L$7:L192,INDEX($L:$L,192))=1,1,"")))</f>
        <v/>
      </c>
      <c r="AO192" s="95" t="str">
        <f aca="false">IF(AN192&lt;&gt;1,"",IF(INDEX($L:$L,192)="",IF(INDEX($S:$S,192)="Yes",1,""),IF(COUNTIFS($L$7:$L$506,INDEX($L:$L,192),$S$7:$S$506,"Yes")&gt;0,1,"")))</f>
        <v/>
      </c>
      <c r="AP192" s="95" t="str">
        <f aca="false">IF(AN192&lt;&gt;1,"",IF(INDEX($L:$L,192)&lt;&gt;"",INDEX($L:$L,192),TRIM(INDEX($D:$D,192)&amp;" "&amp;INDEX($C:$C,192))))</f>
        <v/>
      </c>
      <c r="AQ192" s="43" t="str">
        <f aca="false">IF(OR(AI192="",INDEX($I:$I,192)="Yes"),"",1)</f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customFormat="false" ht="21.75" hidden="false" customHeight="true" outlineLevel="0" collapsed="false">
      <c r="A193" s="1"/>
      <c r="B193" s="113" t="str">
        <f aca="false">IF(AI193="","",COUNT($AI$7:AI193))</f>
        <v/>
      </c>
      <c r="C193" s="114"/>
      <c r="D193" s="114"/>
      <c r="E193" s="114"/>
      <c r="F193" s="114"/>
      <c r="G193" s="115"/>
      <c r="H193" s="115"/>
      <c r="I193" s="115"/>
      <c r="J193" s="115"/>
      <c r="K193" s="115"/>
      <c r="L193" s="114"/>
      <c r="M193" s="114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4"/>
      <c r="Y193" s="114"/>
      <c r="Z193" s="115"/>
      <c r="AA193" s="114"/>
      <c r="AB193" s="114"/>
      <c r="AC193" s="115"/>
      <c r="AD193" s="116"/>
      <c r="AE193" s="114"/>
      <c r="AF193" s="114"/>
      <c r="AG193" s="114"/>
      <c r="AH193" s="1"/>
      <c r="AI193" s="95" t="str">
        <f aca="false">IF(INDEX($C:$C,193)&amp;INDEX($D:$D,193)="","",1)</f>
        <v/>
      </c>
      <c r="AJ193" s="95" t="str">
        <f aca="false">IF(OR(AI193="",INDEX($Z:$Z,193)="",INDEX($U:$U,193)="Declined"),"",1)</f>
        <v/>
      </c>
      <c r="AK193" s="95" t="str">
        <f aca="false">IF(AJ193="","",INDEX($Z:$Z,193)&amp;"-"&amp;COUNTIFS($Z$7:Z193,INDEX($Z:$Z,193),$AJ$7:AJ193,1))</f>
        <v/>
      </c>
      <c r="AL193" s="43" t="str">
        <f aca="false">IF(AI193="","",TRIM(INDEX($D:$D,193)&amp;" "&amp;INDEX($C:$C,193))&amp;IF(INDEX($I:$I,193)="Yes"," (child)",""))</f>
        <v/>
      </c>
      <c r="AM193" s="95" t="str">
        <f aca="false">IF(OR(AI193="",INDEX($X:$X,193)="",INDEX($U:$U,193)="Declined"),"",COUNTIFS($X$7:X193,"?*",$U$7:U193,"&lt;&gt;Declined",$AI$7:AI193,1))</f>
        <v/>
      </c>
      <c r="AN193" s="95" t="str">
        <f aca="false">IF(AI193="","",IF(INDEX($L:$L,193)="",1,IF(COUNTIF($L$7:L193,INDEX($L:$L,193))=1,1,"")))</f>
        <v/>
      </c>
      <c r="AO193" s="95" t="str">
        <f aca="false">IF(AN193&lt;&gt;1,"",IF(INDEX($L:$L,193)="",IF(INDEX($S:$S,193)="Yes",1,""),IF(COUNTIFS($L$7:$L$506,INDEX($L:$L,193),$S$7:$S$506,"Yes")&gt;0,1,"")))</f>
        <v/>
      </c>
      <c r="AP193" s="95" t="str">
        <f aca="false">IF(AN193&lt;&gt;1,"",IF(INDEX($L:$L,193)&lt;&gt;"",INDEX($L:$L,193),TRIM(INDEX($D:$D,193)&amp;" "&amp;INDEX($C:$C,193))))</f>
        <v/>
      </c>
      <c r="AQ193" s="43" t="str">
        <f aca="false">IF(OR(AI193="",INDEX($I:$I,193)="Yes"),"",1)</f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customFormat="false" ht="21.75" hidden="false" customHeight="true" outlineLevel="0" collapsed="false">
      <c r="A194" s="1"/>
      <c r="B194" s="113" t="str">
        <f aca="false">IF(AI194="","",COUNT($AI$7:AI194))</f>
        <v/>
      </c>
      <c r="C194" s="114"/>
      <c r="D194" s="114"/>
      <c r="E194" s="114"/>
      <c r="F194" s="114"/>
      <c r="G194" s="115"/>
      <c r="H194" s="115"/>
      <c r="I194" s="115"/>
      <c r="J194" s="115"/>
      <c r="K194" s="115"/>
      <c r="L194" s="114"/>
      <c r="M194" s="114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4"/>
      <c r="Y194" s="114"/>
      <c r="Z194" s="115"/>
      <c r="AA194" s="114"/>
      <c r="AB194" s="114"/>
      <c r="AC194" s="115"/>
      <c r="AD194" s="116"/>
      <c r="AE194" s="114"/>
      <c r="AF194" s="114"/>
      <c r="AG194" s="114"/>
      <c r="AH194" s="1"/>
      <c r="AI194" s="95" t="str">
        <f aca="false">IF(INDEX($C:$C,194)&amp;INDEX($D:$D,194)="","",1)</f>
        <v/>
      </c>
      <c r="AJ194" s="95" t="str">
        <f aca="false">IF(OR(AI194="",INDEX($Z:$Z,194)="",INDEX($U:$U,194)="Declined"),"",1)</f>
        <v/>
      </c>
      <c r="AK194" s="95" t="str">
        <f aca="false">IF(AJ194="","",INDEX($Z:$Z,194)&amp;"-"&amp;COUNTIFS($Z$7:Z194,INDEX($Z:$Z,194),$AJ$7:AJ194,1))</f>
        <v/>
      </c>
      <c r="AL194" s="43" t="str">
        <f aca="false">IF(AI194="","",TRIM(INDEX($D:$D,194)&amp;" "&amp;INDEX($C:$C,194))&amp;IF(INDEX($I:$I,194)="Yes"," (child)",""))</f>
        <v/>
      </c>
      <c r="AM194" s="95" t="str">
        <f aca="false">IF(OR(AI194="",INDEX($X:$X,194)="",INDEX($U:$U,194)="Declined"),"",COUNTIFS($X$7:X194,"?*",$U$7:U194,"&lt;&gt;Declined",$AI$7:AI194,1))</f>
        <v/>
      </c>
      <c r="AN194" s="95" t="str">
        <f aca="false">IF(AI194="","",IF(INDEX($L:$L,194)="",1,IF(COUNTIF($L$7:L194,INDEX($L:$L,194))=1,1,"")))</f>
        <v/>
      </c>
      <c r="AO194" s="95" t="str">
        <f aca="false">IF(AN194&lt;&gt;1,"",IF(INDEX($L:$L,194)="",IF(INDEX($S:$S,194)="Yes",1,""),IF(COUNTIFS($L$7:$L$506,INDEX($L:$L,194),$S$7:$S$506,"Yes")&gt;0,1,"")))</f>
        <v/>
      </c>
      <c r="AP194" s="95" t="str">
        <f aca="false">IF(AN194&lt;&gt;1,"",IF(INDEX($L:$L,194)&lt;&gt;"",INDEX($L:$L,194),TRIM(INDEX($D:$D,194)&amp;" "&amp;INDEX($C:$C,194))))</f>
        <v/>
      </c>
      <c r="AQ194" s="43" t="str">
        <f aca="false">IF(OR(AI194="",INDEX($I:$I,194)="Yes"),"",1)</f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customFormat="false" ht="21.75" hidden="false" customHeight="true" outlineLevel="0" collapsed="false">
      <c r="A195" s="1"/>
      <c r="B195" s="113" t="str">
        <f aca="false">IF(AI195="","",COUNT($AI$7:AI195))</f>
        <v/>
      </c>
      <c r="C195" s="114"/>
      <c r="D195" s="114"/>
      <c r="E195" s="114"/>
      <c r="F195" s="114"/>
      <c r="G195" s="115"/>
      <c r="H195" s="115"/>
      <c r="I195" s="115"/>
      <c r="J195" s="115"/>
      <c r="K195" s="115"/>
      <c r="L195" s="114"/>
      <c r="M195" s="114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4"/>
      <c r="Y195" s="114"/>
      <c r="Z195" s="115"/>
      <c r="AA195" s="114"/>
      <c r="AB195" s="114"/>
      <c r="AC195" s="115"/>
      <c r="AD195" s="116"/>
      <c r="AE195" s="114"/>
      <c r="AF195" s="114"/>
      <c r="AG195" s="114"/>
      <c r="AH195" s="1"/>
      <c r="AI195" s="95" t="str">
        <f aca="false">IF(INDEX($C:$C,195)&amp;INDEX($D:$D,195)="","",1)</f>
        <v/>
      </c>
      <c r="AJ195" s="95" t="str">
        <f aca="false">IF(OR(AI195="",INDEX($Z:$Z,195)="",INDEX($U:$U,195)="Declined"),"",1)</f>
        <v/>
      </c>
      <c r="AK195" s="95" t="str">
        <f aca="false">IF(AJ195="","",INDEX($Z:$Z,195)&amp;"-"&amp;COUNTIFS($Z$7:Z195,INDEX($Z:$Z,195),$AJ$7:AJ195,1))</f>
        <v/>
      </c>
      <c r="AL195" s="43" t="str">
        <f aca="false">IF(AI195="","",TRIM(INDEX($D:$D,195)&amp;" "&amp;INDEX($C:$C,195))&amp;IF(INDEX($I:$I,195)="Yes"," (child)",""))</f>
        <v/>
      </c>
      <c r="AM195" s="95" t="str">
        <f aca="false">IF(OR(AI195="",INDEX($X:$X,195)="",INDEX($U:$U,195)="Declined"),"",COUNTIFS($X$7:X195,"?*",$U$7:U195,"&lt;&gt;Declined",$AI$7:AI195,1))</f>
        <v/>
      </c>
      <c r="AN195" s="95" t="str">
        <f aca="false">IF(AI195="","",IF(INDEX($L:$L,195)="",1,IF(COUNTIF($L$7:L195,INDEX($L:$L,195))=1,1,"")))</f>
        <v/>
      </c>
      <c r="AO195" s="95" t="str">
        <f aca="false">IF(AN195&lt;&gt;1,"",IF(INDEX($L:$L,195)="",IF(INDEX($S:$S,195)="Yes",1,""),IF(COUNTIFS($L$7:$L$506,INDEX($L:$L,195),$S$7:$S$506,"Yes")&gt;0,1,"")))</f>
        <v/>
      </c>
      <c r="AP195" s="95" t="str">
        <f aca="false">IF(AN195&lt;&gt;1,"",IF(INDEX($L:$L,195)&lt;&gt;"",INDEX($L:$L,195),TRIM(INDEX($D:$D,195)&amp;" "&amp;INDEX($C:$C,195))))</f>
        <v/>
      </c>
      <c r="AQ195" s="43" t="str">
        <f aca="false">IF(OR(AI195="",INDEX($I:$I,195)="Yes"),"",1)</f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customFormat="false" ht="21.75" hidden="false" customHeight="true" outlineLevel="0" collapsed="false">
      <c r="A196" s="1"/>
      <c r="B196" s="113" t="str">
        <f aca="false">IF(AI196="","",COUNT($AI$7:AI196))</f>
        <v/>
      </c>
      <c r="C196" s="114"/>
      <c r="D196" s="114"/>
      <c r="E196" s="114"/>
      <c r="F196" s="114"/>
      <c r="G196" s="115"/>
      <c r="H196" s="115"/>
      <c r="I196" s="115"/>
      <c r="J196" s="115"/>
      <c r="K196" s="115"/>
      <c r="L196" s="114"/>
      <c r="M196" s="114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4"/>
      <c r="Y196" s="114"/>
      <c r="Z196" s="115"/>
      <c r="AA196" s="114"/>
      <c r="AB196" s="114"/>
      <c r="AC196" s="115"/>
      <c r="AD196" s="116"/>
      <c r="AE196" s="114"/>
      <c r="AF196" s="114"/>
      <c r="AG196" s="114"/>
      <c r="AH196" s="1"/>
      <c r="AI196" s="95" t="str">
        <f aca="false">IF(INDEX($C:$C,196)&amp;INDEX($D:$D,196)="","",1)</f>
        <v/>
      </c>
      <c r="AJ196" s="95" t="str">
        <f aca="false">IF(OR(AI196="",INDEX($Z:$Z,196)="",INDEX($U:$U,196)="Declined"),"",1)</f>
        <v/>
      </c>
      <c r="AK196" s="95" t="str">
        <f aca="false">IF(AJ196="","",INDEX($Z:$Z,196)&amp;"-"&amp;COUNTIFS($Z$7:Z196,INDEX($Z:$Z,196),$AJ$7:AJ196,1))</f>
        <v/>
      </c>
      <c r="AL196" s="43" t="str">
        <f aca="false">IF(AI196="","",TRIM(INDEX($D:$D,196)&amp;" "&amp;INDEX($C:$C,196))&amp;IF(INDEX($I:$I,196)="Yes"," (child)",""))</f>
        <v/>
      </c>
      <c r="AM196" s="95" t="str">
        <f aca="false">IF(OR(AI196="",INDEX($X:$X,196)="",INDEX($U:$U,196)="Declined"),"",COUNTIFS($X$7:X196,"?*",$U$7:U196,"&lt;&gt;Declined",$AI$7:AI196,1))</f>
        <v/>
      </c>
      <c r="AN196" s="95" t="str">
        <f aca="false">IF(AI196="","",IF(INDEX($L:$L,196)="",1,IF(COUNTIF($L$7:L196,INDEX($L:$L,196))=1,1,"")))</f>
        <v/>
      </c>
      <c r="AO196" s="95" t="str">
        <f aca="false">IF(AN196&lt;&gt;1,"",IF(INDEX($L:$L,196)="",IF(INDEX($S:$S,196)="Yes",1,""),IF(COUNTIFS($L$7:$L$506,INDEX($L:$L,196),$S$7:$S$506,"Yes")&gt;0,1,"")))</f>
        <v/>
      </c>
      <c r="AP196" s="95" t="str">
        <f aca="false">IF(AN196&lt;&gt;1,"",IF(INDEX($L:$L,196)&lt;&gt;"",INDEX($L:$L,196),TRIM(INDEX($D:$D,196)&amp;" "&amp;INDEX($C:$C,196))))</f>
        <v/>
      </c>
      <c r="AQ196" s="43" t="str">
        <f aca="false">IF(OR(AI196="",INDEX($I:$I,196)="Yes"),"",1)</f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customFormat="false" ht="21.75" hidden="false" customHeight="true" outlineLevel="0" collapsed="false">
      <c r="A197" s="1"/>
      <c r="B197" s="113" t="str">
        <f aca="false">IF(AI197="","",COUNT($AI$7:AI197))</f>
        <v/>
      </c>
      <c r="C197" s="114"/>
      <c r="D197" s="114"/>
      <c r="E197" s="114"/>
      <c r="F197" s="114"/>
      <c r="G197" s="115"/>
      <c r="H197" s="115"/>
      <c r="I197" s="115"/>
      <c r="J197" s="115"/>
      <c r="K197" s="115"/>
      <c r="L197" s="114"/>
      <c r="M197" s="114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4"/>
      <c r="Y197" s="114"/>
      <c r="Z197" s="115"/>
      <c r="AA197" s="114"/>
      <c r="AB197" s="114"/>
      <c r="AC197" s="115"/>
      <c r="AD197" s="116"/>
      <c r="AE197" s="114"/>
      <c r="AF197" s="114"/>
      <c r="AG197" s="114"/>
      <c r="AH197" s="1"/>
      <c r="AI197" s="95" t="str">
        <f aca="false">IF(INDEX($C:$C,197)&amp;INDEX($D:$D,197)="","",1)</f>
        <v/>
      </c>
      <c r="AJ197" s="95" t="str">
        <f aca="false">IF(OR(AI197="",INDEX($Z:$Z,197)="",INDEX($U:$U,197)="Declined"),"",1)</f>
        <v/>
      </c>
      <c r="AK197" s="95" t="str">
        <f aca="false">IF(AJ197="","",INDEX($Z:$Z,197)&amp;"-"&amp;COUNTIFS($Z$7:Z197,INDEX($Z:$Z,197),$AJ$7:AJ197,1))</f>
        <v/>
      </c>
      <c r="AL197" s="43" t="str">
        <f aca="false">IF(AI197="","",TRIM(INDEX($D:$D,197)&amp;" "&amp;INDEX($C:$C,197))&amp;IF(INDEX($I:$I,197)="Yes"," (child)",""))</f>
        <v/>
      </c>
      <c r="AM197" s="95" t="str">
        <f aca="false">IF(OR(AI197="",INDEX($X:$X,197)="",INDEX($U:$U,197)="Declined"),"",COUNTIFS($X$7:X197,"?*",$U$7:U197,"&lt;&gt;Declined",$AI$7:AI197,1))</f>
        <v/>
      </c>
      <c r="AN197" s="95" t="str">
        <f aca="false">IF(AI197="","",IF(INDEX($L:$L,197)="",1,IF(COUNTIF($L$7:L197,INDEX($L:$L,197))=1,1,"")))</f>
        <v/>
      </c>
      <c r="AO197" s="95" t="str">
        <f aca="false">IF(AN197&lt;&gt;1,"",IF(INDEX($L:$L,197)="",IF(INDEX($S:$S,197)="Yes",1,""),IF(COUNTIFS($L$7:$L$506,INDEX($L:$L,197),$S$7:$S$506,"Yes")&gt;0,1,"")))</f>
        <v/>
      </c>
      <c r="AP197" s="95" t="str">
        <f aca="false">IF(AN197&lt;&gt;1,"",IF(INDEX($L:$L,197)&lt;&gt;"",INDEX($L:$L,197),TRIM(INDEX($D:$D,197)&amp;" "&amp;INDEX($C:$C,197))))</f>
        <v/>
      </c>
      <c r="AQ197" s="43" t="str">
        <f aca="false">IF(OR(AI197="",INDEX($I:$I,197)="Yes"),"",1)</f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customFormat="false" ht="21.75" hidden="false" customHeight="true" outlineLevel="0" collapsed="false">
      <c r="A198" s="1"/>
      <c r="B198" s="113" t="str">
        <f aca="false">IF(AI198="","",COUNT($AI$7:AI198))</f>
        <v/>
      </c>
      <c r="C198" s="114"/>
      <c r="D198" s="114"/>
      <c r="E198" s="114"/>
      <c r="F198" s="114"/>
      <c r="G198" s="115"/>
      <c r="H198" s="115"/>
      <c r="I198" s="115"/>
      <c r="J198" s="115"/>
      <c r="K198" s="115"/>
      <c r="L198" s="114"/>
      <c r="M198" s="114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4"/>
      <c r="Y198" s="114"/>
      <c r="Z198" s="115"/>
      <c r="AA198" s="114"/>
      <c r="AB198" s="114"/>
      <c r="AC198" s="115"/>
      <c r="AD198" s="116"/>
      <c r="AE198" s="114"/>
      <c r="AF198" s="114"/>
      <c r="AG198" s="114"/>
      <c r="AH198" s="1"/>
      <c r="AI198" s="95" t="str">
        <f aca="false">IF(INDEX($C:$C,198)&amp;INDEX($D:$D,198)="","",1)</f>
        <v/>
      </c>
      <c r="AJ198" s="95" t="str">
        <f aca="false">IF(OR(AI198="",INDEX($Z:$Z,198)="",INDEX($U:$U,198)="Declined"),"",1)</f>
        <v/>
      </c>
      <c r="AK198" s="95" t="str">
        <f aca="false">IF(AJ198="","",INDEX($Z:$Z,198)&amp;"-"&amp;COUNTIFS($Z$7:Z198,INDEX($Z:$Z,198),$AJ$7:AJ198,1))</f>
        <v/>
      </c>
      <c r="AL198" s="43" t="str">
        <f aca="false">IF(AI198="","",TRIM(INDEX($D:$D,198)&amp;" "&amp;INDEX($C:$C,198))&amp;IF(INDEX($I:$I,198)="Yes"," (child)",""))</f>
        <v/>
      </c>
      <c r="AM198" s="95" t="str">
        <f aca="false">IF(OR(AI198="",INDEX($X:$X,198)="",INDEX($U:$U,198)="Declined"),"",COUNTIFS($X$7:X198,"?*",$U$7:U198,"&lt;&gt;Declined",$AI$7:AI198,1))</f>
        <v/>
      </c>
      <c r="AN198" s="95" t="str">
        <f aca="false">IF(AI198="","",IF(INDEX($L:$L,198)="",1,IF(COUNTIF($L$7:L198,INDEX($L:$L,198))=1,1,"")))</f>
        <v/>
      </c>
      <c r="AO198" s="95" t="str">
        <f aca="false">IF(AN198&lt;&gt;1,"",IF(INDEX($L:$L,198)="",IF(INDEX($S:$S,198)="Yes",1,""),IF(COUNTIFS($L$7:$L$506,INDEX($L:$L,198),$S$7:$S$506,"Yes")&gt;0,1,"")))</f>
        <v/>
      </c>
      <c r="AP198" s="95" t="str">
        <f aca="false">IF(AN198&lt;&gt;1,"",IF(INDEX($L:$L,198)&lt;&gt;"",INDEX($L:$L,198),TRIM(INDEX($D:$D,198)&amp;" "&amp;INDEX($C:$C,198))))</f>
        <v/>
      </c>
      <c r="AQ198" s="43" t="str">
        <f aca="false">IF(OR(AI198="",INDEX($I:$I,198)="Yes"),"",1)</f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customFormat="false" ht="21.75" hidden="false" customHeight="true" outlineLevel="0" collapsed="false">
      <c r="A199" s="1"/>
      <c r="B199" s="113" t="str">
        <f aca="false">IF(AI199="","",COUNT($AI$7:AI199))</f>
        <v/>
      </c>
      <c r="C199" s="114"/>
      <c r="D199" s="114"/>
      <c r="E199" s="114"/>
      <c r="F199" s="114"/>
      <c r="G199" s="115"/>
      <c r="H199" s="115"/>
      <c r="I199" s="115"/>
      <c r="J199" s="115"/>
      <c r="K199" s="115"/>
      <c r="L199" s="114"/>
      <c r="M199" s="114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4"/>
      <c r="Y199" s="114"/>
      <c r="Z199" s="115"/>
      <c r="AA199" s="114"/>
      <c r="AB199" s="114"/>
      <c r="AC199" s="115"/>
      <c r="AD199" s="116"/>
      <c r="AE199" s="114"/>
      <c r="AF199" s="114"/>
      <c r="AG199" s="114"/>
      <c r="AH199" s="1"/>
      <c r="AI199" s="95" t="str">
        <f aca="false">IF(INDEX($C:$C,199)&amp;INDEX($D:$D,199)="","",1)</f>
        <v/>
      </c>
      <c r="AJ199" s="95" t="str">
        <f aca="false">IF(OR(AI199="",INDEX($Z:$Z,199)="",INDEX($U:$U,199)="Declined"),"",1)</f>
        <v/>
      </c>
      <c r="AK199" s="95" t="str">
        <f aca="false">IF(AJ199="","",INDEX($Z:$Z,199)&amp;"-"&amp;COUNTIFS($Z$7:Z199,INDEX($Z:$Z,199),$AJ$7:AJ199,1))</f>
        <v/>
      </c>
      <c r="AL199" s="43" t="str">
        <f aca="false">IF(AI199="","",TRIM(INDEX($D:$D,199)&amp;" "&amp;INDEX($C:$C,199))&amp;IF(INDEX($I:$I,199)="Yes"," (child)",""))</f>
        <v/>
      </c>
      <c r="AM199" s="95" t="str">
        <f aca="false">IF(OR(AI199="",INDEX($X:$X,199)="",INDEX($U:$U,199)="Declined"),"",COUNTIFS($X$7:X199,"?*",$U$7:U199,"&lt;&gt;Declined",$AI$7:AI199,1))</f>
        <v/>
      </c>
      <c r="AN199" s="95" t="str">
        <f aca="false">IF(AI199="","",IF(INDEX($L:$L,199)="",1,IF(COUNTIF($L$7:L199,INDEX($L:$L,199))=1,1,"")))</f>
        <v/>
      </c>
      <c r="AO199" s="95" t="str">
        <f aca="false">IF(AN199&lt;&gt;1,"",IF(INDEX($L:$L,199)="",IF(INDEX($S:$S,199)="Yes",1,""),IF(COUNTIFS($L$7:$L$506,INDEX($L:$L,199),$S$7:$S$506,"Yes")&gt;0,1,"")))</f>
        <v/>
      </c>
      <c r="AP199" s="95" t="str">
        <f aca="false">IF(AN199&lt;&gt;1,"",IF(INDEX($L:$L,199)&lt;&gt;"",INDEX($L:$L,199),TRIM(INDEX($D:$D,199)&amp;" "&amp;INDEX($C:$C,199))))</f>
        <v/>
      </c>
      <c r="AQ199" s="43" t="str">
        <f aca="false">IF(OR(AI199="",INDEX($I:$I,199)="Yes"),"",1)</f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customFormat="false" ht="21.75" hidden="false" customHeight="true" outlineLevel="0" collapsed="false">
      <c r="A200" s="1"/>
      <c r="B200" s="113" t="str">
        <f aca="false">IF(AI200="","",COUNT($AI$7:AI200))</f>
        <v/>
      </c>
      <c r="C200" s="114"/>
      <c r="D200" s="114"/>
      <c r="E200" s="114"/>
      <c r="F200" s="114"/>
      <c r="G200" s="115"/>
      <c r="H200" s="115"/>
      <c r="I200" s="115"/>
      <c r="J200" s="115"/>
      <c r="K200" s="115"/>
      <c r="L200" s="114"/>
      <c r="M200" s="114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4"/>
      <c r="Y200" s="114"/>
      <c r="Z200" s="115"/>
      <c r="AA200" s="114"/>
      <c r="AB200" s="114"/>
      <c r="AC200" s="115"/>
      <c r="AD200" s="116"/>
      <c r="AE200" s="114"/>
      <c r="AF200" s="114"/>
      <c r="AG200" s="114"/>
      <c r="AH200" s="1"/>
      <c r="AI200" s="95" t="str">
        <f aca="false">IF(INDEX($C:$C,200)&amp;INDEX($D:$D,200)="","",1)</f>
        <v/>
      </c>
      <c r="AJ200" s="95" t="str">
        <f aca="false">IF(OR(AI200="",INDEX($Z:$Z,200)="",INDEX($U:$U,200)="Declined"),"",1)</f>
        <v/>
      </c>
      <c r="AK200" s="95" t="str">
        <f aca="false">IF(AJ200="","",INDEX($Z:$Z,200)&amp;"-"&amp;COUNTIFS($Z$7:Z200,INDEX($Z:$Z,200),$AJ$7:AJ200,1))</f>
        <v/>
      </c>
      <c r="AL200" s="43" t="str">
        <f aca="false">IF(AI200="","",TRIM(INDEX($D:$D,200)&amp;" "&amp;INDEX($C:$C,200))&amp;IF(INDEX($I:$I,200)="Yes"," (child)",""))</f>
        <v/>
      </c>
      <c r="AM200" s="95" t="str">
        <f aca="false">IF(OR(AI200="",INDEX($X:$X,200)="",INDEX($U:$U,200)="Declined"),"",COUNTIFS($X$7:X200,"?*",$U$7:U200,"&lt;&gt;Declined",$AI$7:AI200,1))</f>
        <v/>
      </c>
      <c r="AN200" s="95" t="str">
        <f aca="false">IF(AI200="","",IF(INDEX($L:$L,200)="",1,IF(COUNTIF($L$7:L200,INDEX($L:$L,200))=1,1,"")))</f>
        <v/>
      </c>
      <c r="AO200" s="95" t="str">
        <f aca="false">IF(AN200&lt;&gt;1,"",IF(INDEX($L:$L,200)="",IF(INDEX($S:$S,200)="Yes",1,""),IF(COUNTIFS($L$7:$L$506,INDEX($L:$L,200),$S$7:$S$506,"Yes")&gt;0,1,"")))</f>
        <v/>
      </c>
      <c r="AP200" s="95" t="str">
        <f aca="false">IF(AN200&lt;&gt;1,"",IF(INDEX($L:$L,200)&lt;&gt;"",INDEX($L:$L,200),TRIM(INDEX($D:$D,200)&amp;" "&amp;INDEX($C:$C,200))))</f>
        <v/>
      </c>
      <c r="AQ200" s="43" t="str">
        <f aca="false">IF(OR(AI200="",INDEX($I:$I,200)="Yes"),"",1)</f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customFormat="false" ht="21.75" hidden="false" customHeight="true" outlineLevel="0" collapsed="false">
      <c r="A201" s="1"/>
      <c r="B201" s="113" t="str">
        <f aca="false">IF(AI201="","",COUNT($AI$7:AI201))</f>
        <v/>
      </c>
      <c r="C201" s="114"/>
      <c r="D201" s="114"/>
      <c r="E201" s="114"/>
      <c r="F201" s="114"/>
      <c r="G201" s="115"/>
      <c r="H201" s="115"/>
      <c r="I201" s="115"/>
      <c r="J201" s="115"/>
      <c r="K201" s="115"/>
      <c r="L201" s="114"/>
      <c r="M201" s="114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4"/>
      <c r="Y201" s="114"/>
      <c r="Z201" s="115"/>
      <c r="AA201" s="114"/>
      <c r="AB201" s="114"/>
      <c r="AC201" s="115"/>
      <c r="AD201" s="116"/>
      <c r="AE201" s="114"/>
      <c r="AF201" s="114"/>
      <c r="AG201" s="114"/>
      <c r="AH201" s="1"/>
      <c r="AI201" s="95" t="str">
        <f aca="false">IF(INDEX($C:$C,201)&amp;INDEX($D:$D,201)="","",1)</f>
        <v/>
      </c>
      <c r="AJ201" s="95" t="str">
        <f aca="false">IF(OR(AI201="",INDEX($Z:$Z,201)="",INDEX($U:$U,201)="Declined"),"",1)</f>
        <v/>
      </c>
      <c r="AK201" s="95" t="str">
        <f aca="false">IF(AJ201="","",INDEX($Z:$Z,201)&amp;"-"&amp;COUNTIFS($Z$7:Z201,INDEX($Z:$Z,201),$AJ$7:AJ201,1))</f>
        <v/>
      </c>
      <c r="AL201" s="43" t="str">
        <f aca="false">IF(AI201="","",TRIM(INDEX($D:$D,201)&amp;" "&amp;INDEX($C:$C,201))&amp;IF(INDEX($I:$I,201)="Yes"," (child)",""))</f>
        <v/>
      </c>
      <c r="AM201" s="95" t="str">
        <f aca="false">IF(OR(AI201="",INDEX($X:$X,201)="",INDEX($U:$U,201)="Declined"),"",COUNTIFS($X$7:X201,"?*",$U$7:U201,"&lt;&gt;Declined",$AI$7:AI201,1))</f>
        <v/>
      </c>
      <c r="AN201" s="95" t="str">
        <f aca="false">IF(AI201="","",IF(INDEX($L:$L,201)="",1,IF(COUNTIF($L$7:L201,INDEX($L:$L,201))=1,1,"")))</f>
        <v/>
      </c>
      <c r="AO201" s="95" t="str">
        <f aca="false">IF(AN201&lt;&gt;1,"",IF(INDEX($L:$L,201)="",IF(INDEX($S:$S,201)="Yes",1,""),IF(COUNTIFS($L$7:$L$506,INDEX($L:$L,201),$S$7:$S$506,"Yes")&gt;0,1,"")))</f>
        <v/>
      </c>
      <c r="AP201" s="95" t="str">
        <f aca="false">IF(AN201&lt;&gt;1,"",IF(INDEX($L:$L,201)&lt;&gt;"",INDEX($L:$L,201),TRIM(INDEX($D:$D,201)&amp;" "&amp;INDEX($C:$C,201))))</f>
        <v/>
      </c>
      <c r="AQ201" s="43" t="str">
        <f aca="false">IF(OR(AI201="",INDEX($I:$I,201)="Yes"),"",1)</f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customFormat="false" ht="21.75" hidden="false" customHeight="true" outlineLevel="0" collapsed="false">
      <c r="A202" s="1"/>
      <c r="B202" s="113" t="str">
        <f aca="false">IF(AI202="","",COUNT($AI$7:AI202))</f>
        <v/>
      </c>
      <c r="C202" s="114"/>
      <c r="D202" s="114"/>
      <c r="E202" s="114"/>
      <c r="F202" s="114"/>
      <c r="G202" s="115"/>
      <c r="H202" s="115"/>
      <c r="I202" s="115"/>
      <c r="J202" s="115"/>
      <c r="K202" s="115"/>
      <c r="L202" s="114"/>
      <c r="M202" s="114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4"/>
      <c r="Y202" s="114"/>
      <c r="Z202" s="115"/>
      <c r="AA202" s="114"/>
      <c r="AB202" s="114"/>
      <c r="AC202" s="115"/>
      <c r="AD202" s="116"/>
      <c r="AE202" s="114"/>
      <c r="AF202" s="114"/>
      <c r="AG202" s="114"/>
      <c r="AH202" s="1"/>
      <c r="AI202" s="95" t="str">
        <f aca="false">IF(INDEX($C:$C,202)&amp;INDEX($D:$D,202)="","",1)</f>
        <v/>
      </c>
      <c r="AJ202" s="95" t="str">
        <f aca="false">IF(OR(AI202="",INDEX($Z:$Z,202)="",INDEX($U:$U,202)="Declined"),"",1)</f>
        <v/>
      </c>
      <c r="AK202" s="95" t="str">
        <f aca="false">IF(AJ202="","",INDEX($Z:$Z,202)&amp;"-"&amp;COUNTIFS($Z$7:Z202,INDEX($Z:$Z,202),$AJ$7:AJ202,1))</f>
        <v/>
      </c>
      <c r="AL202" s="43" t="str">
        <f aca="false">IF(AI202="","",TRIM(INDEX($D:$D,202)&amp;" "&amp;INDEX($C:$C,202))&amp;IF(INDEX($I:$I,202)="Yes"," (child)",""))</f>
        <v/>
      </c>
      <c r="AM202" s="95" t="str">
        <f aca="false">IF(OR(AI202="",INDEX($X:$X,202)="",INDEX($U:$U,202)="Declined"),"",COUNTIFS($X$7:X202,"?*",$U$7:U202,"&lt;&gt;Declined",$AI$7:AI202,1))</f>
        <v/>
      </c>
      <c r="AN202" s="95" t="str">
        <f aca="false">IF(AI202="","",IF(INDEX($L:$L,202)="",1,IF(COUNTIF($L$7:L202,INDEX($L:$L,202))=1,1,"")))</f>
        <v/>
      </c>
      <c r="AO202" s="95" t="str">
        <f aca="false">IF(AN202&lt;&gt;1,"",IF(INDEX($L:$L,202)="",IF(INDEX($S:$S,202)="Yes",1,""),IF(COUNTIFS($L$7:$L$506,INDEX($L:$L,202),$S$7:$S$506,"Yes")&gt;0,1,"")))</f>
        <v/>
      </c>
      <c r="AP202" s="95" t="str">
        <f aca="false">IF(AN202&lt;&gt;1,"",IF(INDEX($L:$L,202)&lt;&gt;"",INDEX($L:$L,202),TRIM(INDEX($D:$D,202)&amp;" "&amp;INDEX($C:$C,202))))</f>
        <v/>
      </c>
      <c r="AQ202" s="43" t="str">
        <f aca="false">IF(OR(AI202="",INDEX($I:$I,202)="Yes"),"",1)</f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customFormat="false" ht="21.75" hidden="false" customHeight="true" outlineLevel="0" collapsed="false">
      <c r="A203" s="1"/>
      <c r="B203" s="113" t="str">
        <f aca="false">IF(AI203="","",COUNT($AI$7:AI203))</f>
        <v/>
      </c>
      <c r="C203" s="114"/>
      <c r="D203" s="114"/>
      <c r="E203" s="114"/>
      <c r="F203" s="114"/>
      <c r="G203" s="115"/>
      <c r="H203" s="115"/>
      <c r="I203" s="115"/>
      <c r="J203" s="115"/>
      <c r="K203" s="115"/>
      <c r="L203" s="114"/>
      <c r="M203" s="114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4"/>
      <c r="Y203" s="114"/>
      <c r="Z203" s="115"/>
      <c r="AA203" s="114"/>
      <c r="AB203" s="114"/>
      <c r="AC203" s="115"/>
      <c r="AD203" s="116"/>
      <c r="AE203" s="114"/>
      <c r="AF203" s="114"/>
      <c r="AG203" s="114"/>
      <c r="AH203" s="1"/>
      <c r="AI203" s="95" t="str">
        <f aca="false">IF(INDEX($C:$C,203)&amp;INDEX($D:$D,203)="","",1)</f>
        <v/>
      </c>
      <c r="AJ203" s="95" t="str">
        <f aca="false">IF(OR(AI203="",INDEX($Z:$Z,203)="",INDEX($U:$U,203)="Declined"),"",1)</f>
        <v/>
      </c>
      <c r="AK203" s="95" t="str">
        <f aca="false">IF(AJ203="","",INDEX($Z:$Z,203)&amp;"-"&amp;COUNTIFS($Z$7:Z203,INDEX($Z:$Z,203),$AJ$7:AJ203,1))</f>
        <v/>
      </c>
      <c r="AL203" s="43" t="str">
        <f aca="false">IF(AI203="","",TRIM(INDEX($D:$D,203)&amp;" "&amp;INDEX($C:$C,203))&amp;IF(INDEX($I:$I,203)="Yes"," (child)",""))</f>
        <v/>
      </c>
      <c r="AM203" s="95" t="str">
        <f aca="false">IF(OR(AI203="",INDEX($X:$X,203)="",INDEX($U:$U,203)="Declined"),"",COUNTIFS($X$7:X203,"?*",$U$7:U203,"&lt;&gt;Declined",$AI$7:AI203,1))</f>
        <v/>
      </c>
      <c r="AN203" s="95" t="str">
        <f aca="false">IF(AI203="","",IF(INDEX($L:$L,203)="",1,IF(COUNTIF($L$7:L203,INDEX($L:$L,203))=1,1,"")))</f>
        <v/>
      </c>
      <c r="AO203" s="95" t="str">
        <f aca="false">IF(AN203&lt;&gt;1,"",IF(INDEX($L:$L,203)="",IF(INDEX($S:$S,203)="Yes",1,""),IF(COUNTIFS($L$7:$L$506,INDEX($L:$L,203),$S$7:$S$506,"Yes")&gt;0,1,"")))</f>
        <v/>
      </c>
      <c r="AP203" s="95" t="str">
        <f aca="false">IF(AN203&lt;&gt;1,"",IF(INDEX($L:$L,203)&lt;&gt;"",INDEX($L:$L,203),TRIM(INDEX($D:$D,203)&amp;" "&amp;INDEX($C:$C,203))))</f>
        <v/>
      </c>
      <c r="AQ203" s="43" t="str">
        <f aca="false">IF(OR(AI203="",INDEX($I:$I,203)="Yes"),"",1)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customFormat="false" ht="21.75" hidden="false" customHeight="true" outlineLevel="0" collapsed="false">
      <c r="A204" s="1"/>
      <c r="B204" s="113" t="str">
        <f aca="false">IF(AI204="","",COUNT($AI$7:AI204))</f>
        <v/>
      </c>
      <c r="C204" s="114"/>
      <c r="D204" s="114"/>
      <c r="E204" s="114"/>
      <c r="F204" s="114"/>
      <c r="G204" s="115"/>
      <c r="H204" s="115"/>
      <c r="I204" s="115"/>
      <c r="J204" s="115"/>
      <c r="K204" s="115"/>
      <c r="L204" s="114"/>
      <c r="M204" s="114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4"/>
      <c r="Y204" s="114"/>
      <c r="Z204" s="115"/>
      <c r="AA204" s="114"/>
      <c r="AB204" s="114"/>
      <c r="AC204" s="115"/>
      <c r="AD204" s="116"/>
      <c r="AE204" s="114"/>
      <c r="AF204" s="114"/>
      <c r="AG204" s="114"/>
      <c r="AH204" s="1"/>
      <c r="AI204" s="95" t="str">
        <f aca="false">IF(INDEX($C:$C,204)&amp;INDEX($D:$D,204)="","",1)</f>
        <v/>
      </c>
      <c r="AJ204" s="95" t="str">
        <f aca="false">IF(OR(AI204="",INDEX($Z:$Z,204)="",INDEX($U:$U,204)="Declined"),"",1)</f>
        <v/>
      </c>
      <c r="AK204" s="95" t="str">
        <f aca="false">IF(AJ204="","",INDEX($Z:$Z,204)&amp;"-"&amp;COUNTIFS($Z$7:Z204,INDEX($Z:$Z,204),$AJ$7:AJ204,1))</f>
        <v/>
      </c>
      <c r="AL204" s="43" t="str">
        <f aca="false">IF(AI204="","",TRIM(INDEX($D:$D,204)&amp;" "&amp;INDEX($C:$C,204))&amp;IF(INDEX($I:$I,204)="Yes"," (child)",""))</f>
        <v/>
      </c>
      <c r="AM204" s="95" t="str">
        <f aca="false">IF(OR(AI204="",INDEX($X:$X,204)="",INDEX($U:$U,204)="Declined"),"",COUNTIFS($X$7:X204,"?*",$U$7:U204,"&lt;&gt;Declined",$AI$7:AI204,1))</f>
        <v/>
      </c>
      <c r="AN204" s="95" t="str">
        <f aca="false">IF(AI204="","",IF(INDEX($L:$L,204)="",1,IF(COUNTIF($L$7:L204,INDEX($L:$L,204))=1,1,"")))</f>
        <v/>
      </c>
      <c r="AO204" s="95" t="str">
        <f aca="false">IF(AN204&lt;&gt;1,"",IF(INDEX($L:$L,204)="",IF(INDEX($S:$S,204)="Yes",1,""),IF(COUNTIFS($L$7:$L$506,INDEX($L:$L,204),$S$7:$S$506,"Yes")&gt;0,1,"")))</f>
        <v/>
      </c>
      <c r="AP204" s="95" t="str">
        <f aca="false">IF(AN204&lt;&gt;1,"",IF(INDEX($L:$L,204)&lt;&gt;"",INDEX($L:$L,204),TRIM(INDEX($D:$D,204)&amp;" "&amp;INDEX($C:$C,204))))</f>
        <v/>
      </c>
      <c r="AQ204" s="43" t="str">
        <f aca="false">IF(OR(AI204="",INDEX($I:$I,204)="Yes"),"",1)</f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customFormat="false" ht="21.75" hidden="false" customHeight="true" outlineLevel="0" collapsed="false">
      <c r="A205" s="1"/>
      <c r="B205" s="113" t="str">
        <f aca="false">IF(AI205="","",COUNT($AI$7:AI205))</f>
        <v/>
      </c>
      <c r="C205" s="114"/>
      <c r="D205" s="114"/>
      <c r="E205" s="114"/>
      <c r="F205" s="114"/>
      <c r="G205" s="115"/>
      <c r="H205" s="115"/>
      <c r="I205" s="115"/>
      <c r="J205" s="115"/>
      <c r="K205" s="115"/>
      <c r="L205" s="114"/>
      <c r="M205" s="114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4"/>
      <c r="Y205" s="114"/>
      <c r="Z205" s="115"/>
      <c r="AA205" s="114"/>
      <c r="AB205" s="114"/>
      <c r="AC205" s="115"/>
      <c r="AD205" s="116"/>
      <c r="AE205" s="114"/>
      <c r="AF205" s="114"/>
      <c r="AG205" s="114"/>
      <c r="AH205" s="1"/>
      <c r="AI205" s="95" t="str">
        <f aca="false">IF(INDEX($C:$C,205)&amp;INDEX($D:$D,205)="","",1)</f>
        <v/>
      </c>
      <c r="AJ205" s="95" t="str">
        <f aca="false">IF(OR(AI205="",INDEX($Z:$Z,205)="",INDEX($U:$U,205)="Declined"),"",1)</f>
        <v/>
      </c>
      <c r="AK205" s="95" t="str">
        <f aca="false">IF(AJ205="","",INDEX($Z:$Z,205)&amp;"-"&amp;COUNTIFS($Z$7:Z205,INDEX($Z:$Z,205),$AJ$7:AJ205,1))</f>
        <v/>
      </c>
      <c r="AL205" s="43" t="str">
        <f aca="false">IF(AI205="","",TRIM(INDEX($D:$D,205)&amp;" "&amp;INDEX($C:$C,205))&amp;IF(INDEX($I:$I,205)="Yes"," (child)",""))</f>
        <v/>
      </c>
      <c r="AM205" s="95" t="str">
        <f aca="false">IF(OR(AI205="",INDEX($X:$X,205)="",INDEX($U:$U,205)="Declined"),"",COUNTIFS($X$7:X205,"?*",$U$7:U205,"&lt;&gt;Declined",$AI$7:AI205,1))</f>
        <v/>
      </c>
      <c r="AN205" s="95" t="str">
        <f aca="false">IF(AI205="","",IF(INDEX($L:$L,205)="",1,IF(COUNTIF($L$7:L205,INDEX($L:$L,205))=1,1,"")))</f>
        <v/>
      </c>
      <c r="AO205" s="95" t="str">
        <f aca="false">IF(AN205&lt;&gt;1,"",IF(INDEX($L:$L,205)="",IF(INDEX($S:$S,205)="Yes",1,""),IF(COUNTIFS($L$7:$L$506,INDEX($L:$L,205),$S$7:$S$506,"Yes")&gt;0,1,"")))</f>
        <v/>
      </c>
      <c r="AP205" s="95" t="str">
        <f aca="false">IF(AN205&lt;&gt;1,"",IF(INDEX($L:$L,205)&lt;&gt;"",INDEX($L:$L,205),TRIM(INDEX($D:$D,205)&amp;" "&amp;INDEX($C:$C,205))))</f>
        <v/>
      </c>
      <c r="AQ205" s="43" t="str">
        <f aca="false">IF(OR(AI205="",INDEX($I:$I,205)="Yes"),"",1)</f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customFormat="false" ht="21.75" hidden="false" customHeight="true" outlineLevel="0" collapsed="false">
      <c r="A206" s="1"/>
      <c r="B206" s="113" t="str">
        <f aca="false">IF(AI206="","",COUNT($AI$7:AI206))</f>
        <v/>
      </c>
      <c r="C206" s="114"/>
      <c r="D206" s="114"/>
      <c r="E206" s="114"/>
      <c r="F206" s="114"/>
      <c r="G206" s="115"/>
      <c r="H206" s="115"/>
      <c r="I206" s="115"/>
      <c r="J206" s="115"/>
      <c r="K206" s="115"/>
      <c r="L206" s="114"/>
      <c r="M206" s="114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4"/>
      <c r="Y206" s="114"/>
      <c r="Z206" s="115"/>
      <c r="AA206" s="114"/>
      <c r="AB206" s="114"/>
      <c r="AC206" s="115"/>
      <c r="AD206" s="116"/>
      <c r="AE206" s="114"/>
      <c r="AF206" s="114"/>
      <c r="AG206" s="114"/>
      <c r="AH206" s="1"/>
      <c r="AI206" s="95" t="str">
        <f aca="false">IF(INDEX($C:$C,206)&amp;INDEX($D:$D,206)="","",1)</f>
        <v/>
      </c>
      <c r="AJ206" s="95" t="str">
        <f aca="false">IF(OR(AI206="",INDEX($Z:$Z,206)="",INDEX($U:$U,206)="Declined"),"",1)</f>
        <v/>
      </c>
      <c r="AK206" s="95" t="str">
        <f aca="false">IF(AJ206="","",INDEX($Z:$Z,206)&amp;"-"&amp;COUNTIFS($Z$7:Z206,INDEX($Z:$Z,206),$AJ$7:AJ206,1))</f>
        <v/>
      </c>
      <c r="AL206" s="43" t="str">
        <f aca="false">IF(AI206="","",TRIM(INDEX($D:$D,206)&amp;" "&amp;INDEX($C:$C,206))&amp;IF(INDEX($I:$I,206)="Yes"," (child)",""))</f>
        <v/>
      </c>
      <c r="AM206" s="95" t="str">
        <f aca="false">IF(OR(AI206="",INDEX($X:$X,206)="",INDEX($U:$U,206)="Declined"),"",COUNTIFS($X$7:X206,"?*",$U$7:U206,"&lt;&gt;Declined",$AI$7:AI206,1))</f>
        <v/>
      </c>
      <c r="AN206" s="95" t="str">
        <f aca="false">IF(AI206="","",IF(INDEX($L:$L,206)="",1,IF(COUNTIF($L$7:L206,INDEX($L:$L,206))=1,1,"")))</f>
        <v/>
      </c>
      <c r="AO206" s="95" t="str">
        <f aca="false">IF(AN206&lt;&gt;1,"",IF(INDEX($L:$L,206)="",IF(INDEX($S:$S,206)="Yes",1,""),IF(COUNTIFS($L$7:$L$506,INDEX($L:$L,206),$S$7:$S$506,"Yes")&gt;0,1,"")))</f>
        <v/>
      </c>
      <c r="AP206" s="95" t="str">
        <f aca="false">IF(AN206&lt;&gt;1,"",IF(INDEX($L:$L,206)&lt;&gt;"",INDEX($L:$L,206),TRIM(INDEX($D:$D,206)&amp;" "&amp;INDEX($C:$C,206))))</f>
        <v/>
      </c>
      <c r="AQ206" s="43" t="str">
        <f aca="false">IF(OR(AI206="",INDEX($I:$I,206)="Yes"),"",1)</f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customFormat="false" ht="21.75" hidden="false" customHeight="true" outlineLevel="0" collapsed="false">
      <c r="A207" s="1"/>
      <c r="B207" s="113" t="str">
        <f aca="false">IF(AI207="","",COUNT($AI$7:AI207))</f>
        <v/>
      </c>
      <c r="C207" s="114"/>
      <c r="D207" s="114"/>
      <c r="E207" s="114"/>
      <c r="F207" s="114"/>
      <c r="G207" s="115"/>
      <c r="H207" s="115"/>
      <c r="I207" s="115"/>
      <c r="J207" s="115"/>
      <c r="K207" s="115"/>
      <c r="L207" s="114"/>
      <c r="M207" s="114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4"/>
      <c r="Y207" s="114"/>
      <c r="Z207" s="115"/>
      <c r="AA207" s="114"/>
      <c r="AB207" s="114"/>
      <c r="AC207" s="115"/>
      <c r="AD207" s="116"/>
      <c r="AE207" s="114"/>
      <c r="AF207" s="114"/>
      <c r="AG207" s="114"/>
      <c r="AH207" s="1"/>
      <c r="AI207" s="95" t="str">
        <f aca="false">IF(INDEX($C:$C,207)&amp;INDEX($D:$D,207)="","",1)</f>
        <v/>
      </c>
      <c r="AJ207" s="95" t="str">
        <f aca="false">IF(OR(AI207="",INDEX($Z:$Z,207)="",INDEX($U:$U,207)="Declined"),"",1)</f>
        <v/>
      </c>
      <c r="AK207" s="95" t="str">
        <f aca="false">IF(AJ207="","",INDEX($Z:$Z,207)&amp;"-"&amp;COUNTIFS($Z$7:Z207,INDEX($Z:$Z,207),$AJ$7:AJ207,1))</f>
        <v/>
      </c>
      <c r="AL207" s="43" t="str">
        <f aca="false">IF(AI207="","",TRIM(INDEX($D:$D,207)&amp;" "&amp;INDEX($C:$C,207))&amp;IF(INDEX($I:$I,207)="Yes"," (child)",""))</f>
        <v/>
      </c>
      <c r="AM207" s="95" t="str">
        <f aca="false">IF(OR(AI207="",INDEX($X:$X,207)="",INDEX($U:$U,207)="Declined"),"",COUNTIFS($X$7:X207,"?*",$U$7:U207,"&lt;&gt;Declined",$AI$7:AI207,1))</f>
        <v/>
      </c>
      <c r="AN207" s="95" t="str">
        <f aca="false">IF(AI207="","",IF(INDEX($L:$L,207)="",1,IF(COUNTIF($L$7:L207,INDEX($L:$L,207))=1,1,"")))</f>
        <v/>
      </c>
      <c r="AO207" s="95" t="str">
        <f aca="false">IF(AN207&lt;&gt;1,"",IF(INDEX($L:$L,207)="",IF(INDEX($S:$S,207)="Yes",1,""),IF(COUNTIFS($L$7:$L$506,INDEX($L:$L,207),$S$7:$S$506,"Yes")&gt;0,1,"")))</f>
        <v/>
      </c>
      <c r="AP207" s="95" t="str">
        <f aca="false">IF(AN207&lt;&gt;1,"",IF(INDEX($L:$L,207)&lt;&gt;"",INDEX($L:$L,207),TRIM(INDEX($D:$D,207)&amp;" "&amp;INDEX($C:$C,207))))</f>
        <v/>
      </c>
      <c r="AQ207" s="43" t="str">
        <f aca="false">IF(OR(AI207="",INDEX($I:$I,207)="Yes"),"",1)</f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customFormat="false" ht="21.75" hidden="false" customHeight="true" outlineLevel="0" collapsed="false">
      <c r="A208" s="1"/>
      <c r="B208" s="113" t="str">
        <f aca="false">IF(AI208="","",COUNT($AI$7:AI208))</f>
        <v/>
      </c>
      <c r="C208" s="114"/>
      <c r="D208" s="114"/>
      <c r="E208" s="114"/>
      <c r="F208" s="114"/>
      <c r="G208" s="115"/>
      <c r="H208" s="115"/>
      <c r="I208" s="115"/>
      <c r="J208" s="115"/>
      <c r="K208" s="115"/>
      <c r="L208" s="114"/>
      <c r="M208" s="114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4"/>
      <c r="Y208" s="114"/>
      <c r="Z208" s="115"/>
      <c r="AA208" s="114"/>
      <c r="AB208" s="114"/>
      <c r="AC208" s="115"/>
      <c r="AD208" s="116"/>
      <c r="AE208" s="114"/>
      <c r="AF208" s="114"/>
      <c r="AG208" s="114"/>
      <c r="AH208" s="1"/>
      <c r="AI208" s="95" t="str">
        <f aca="false">IF(INDEX($C:$C,208)&amp;INDEX($D:$D,208)="","",1)</f>
        <v/>
      </c>
      <c r="AJ208" s="95" t="str">
        <f aca="false">IF(OR(AI208="",INDEX($Z:$Z,208)="",INDEX($U:$U,208)="Declined"),"",1)</f>
        <v/>
      </c>
      <c r="AK208" s="95" t="str">
        <f aca="false">IF(AJ208="","",INDEX($Z:$Z,208)&amp;"-"&amp;COUNTIFS($Z$7:Z208,INDEX($Z:$Z,208),$AJ$7:AJ208,1))</f>
        <v/>
      </c>
      <c r="AL208" s="43" t="str">
        <f aca="false">IF(AI208="","",TRIM(INDEX($D:$D,208)&amp;" "&amp;INDEX($C:$C,208))&amp;IF(INDEX($I:$I,208)="Yes"," (child)",""))</f>
        <v/>
      </c>
      <c r="AM208" s="95" t="str">
        <f aca="false">IF(OR(AI208="",INDEX($X:$X,208)="",INDEX($U:$U,208)="Declined"),"",COUNTIFS($X$7:X208,"?*",$U$7:U208,"&lt;&gt;Declined",$AI$7:AI208,1))</f>
        <v/>
      </c>
      <c r="AN208" s="95" t="str">
        <f aca="false">IF(AI208="","",IF(INDEX($L:$L,208)="",1,IF(COUNTIF($L$7:L208,INDEX($L:$L,208))=1,1,"")))</f>
        <v/>
      </c>
      <c r="AO208" s="95" t="str">
        <f aca="false">IF(AN208&lt;&gt;1,"",IF(INDEX($L:$L,208)="",IF(INDEX($S:$S,208)="Yes",1,""),IF(COUNTIFS($L$7:$L$506,INDEX($L:$L,208),$S$7:$S$506,"Yes")&gt;0,1,"")))</f>
        <v/>
      </c>
      <c r="AP208" s="95" t="str">
        <f aca="false">IF(AN208&lt;&gt;1,"",IF(INDEX($L:$L,208)&lt;&gt;"",INDEX($L:$L,208),TRIM(INDEX($D:$D,208)&amp;" "&amp;INDEX($C:$C,208))))</f>
        <v/>
      </c>
      <c r="AQ208" s="43" t="str">
        <f aca="false">IF(OR(AI208="",INDEX($I:$I,208)="Yes"),"",1)</f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customFormat="false" ht="21.75" hidden="false" customHeight="true" outlineLevel="0" collapsed="false">
      <c r="A209" s="1"/>
      <c r="B209" s="113" t="str">
        <f aca="false">IF(AI209="","",COUNT($AI$7:AI209))</f>
        <v/>
      </c>
      <c r="C209" s="114"/>
      <c r="D209" s="114"/>
      <c r="E209" s="114"/>
      <c r="F209" s="114"/>
      <c r="G209" s="115"/>
      <c r="H209" s="115"/>
      <c r="I209" s="115"/>
      <c r="J209" s="115"/>
      <c r="K209" s="115"/>
      <c r="L209" s="114"/>
      <c r="M209" s="114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4"/>
      <c r="Y209" s="114"/>
      <c r="Z209" s="115"/>
      <c r="AA209" s="114"/>
      <c r="AB209" s="114"/>
      <c r="AC209" s="115"/>
      <c r="AD209" s="116"/>
      <c r="AE209" s="114"/>
      <c r="AF209" s="114"/>
      <c r="AG209" s="114"/>
      <c r="AH209" s="1"/>
      <c r="AI209" s="95" t="str">
        <f aca="false">IF(INDEX($C:$C,209)&amp;INDEX($D:$D,209)="","",1)</f>
        <v/>
      </c>
      <c r="AJ209" s="95" t="str">
        <f aca="false">IF(OR(AI209="",INDEX($Z:$Z,209)="",INDEX($U:$U,209)="Declined"),"",1)</f>
        <v/>
      </c>
      <c r="AK209" s="95" t="str">
        <f aca="false">IF(AJ209="","",INDEX($Z:$Z,209)&amp;"-"&amp;COUNTIFS($Z$7:Z209,INDEX($Z:$Z,209),$AJ$7:AJ209,1))</f>
        <v/>
      </c>
      <c r="AL209" s="43" t="str">
        <f aca="false">IF(AI209="","",TRIM(INDEX($D:$D,209)&amp;" "&amp;INDEX($C:$C,209))&amp;IF(INDEX($I:$I,209)="Yes"," (child)",""))</f>
        <v/>
      </c>
      <c r="AM209" s="95" t="str">
        <f aca="false">IF(OR(AI209="",INDEX($X:$X,209)="",INDEX($U:$U,209)="Declined"),"",COUNTIFS($X$7:X209,"?*",$U$7:U209,"&lt;&gt;Declined",$AI$7:AI209,1))</f>
        <v/>
      </c>
      <c r="AN209" s="95" t="str">
        <f aca="false">IF(AI209="","",IF(INDEX($L:$L,209)="",1,IF(COUNTIF($L$7:L209,INDEX($L:$L,209))=1,1,"")))</f>
        <v/>
      </c>
      <c r="AO209" s="95" t="str">
        <f aca="false">IF(AN209&lt;&gt;1,"",IF(INDEX($L:$L,209)="",IF(INDEX($S:$S,209)="Yes",1,""),IF(COUNTIFS($L$7:$L$506,INDEX($L:$L,209),$S$7:$S$506,"Yes")&gt;0,1,"")))</f>
        <v/>
      </c>
      <c r="AP209" s="95" t="str">
        <f aca="false">IF(AN209&lt;&gt;1,"",IF(INDEX($L:$L,209)&lt;&gt;"",INDEX($L:$L,209),TRIM(INDEX($D:$D,209)&amp;" "&amp;INDEX($C:$C,209))))</f>
        <v/>
      </c>
      <c r="AQ209" s="43" t="str">
        <f aca="false">IF(OR(AI209="",INDEX($I:$I,209)="Yes"),"",1)</f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customFormat="false" ht="21.75" hidden="false" customHeight="true" outlineLevel="0" collapsed="false">
      <c r="A210" s="1"/>
      <c r="B210" s="113" t="str">
        <f aca="false">IF(AI210="","",COUNT($AI$7:AI210))</f>
        <v/>
      </c>
      <c r="C210" s="114"/>
      <c r="D210" s="114"/>
      <c r="E210" s="114"/>
      <c r="F210" s="114"/>
      <c r="G210" s="115"/>
      <c r="H210" s="115"/>
      <c r="I210" s="115"/>
      <c r="J210" s="115"/>
      <c r="K210" s="115"/>
      <c r="L210" s="114"/>
      <c r="M210" s="114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4"/>
      <c r="Y210" s="114"/>
      <c r="Z210" s="115"/>
      <c r="AA210" s="114"/>
      <c r="AB210" s="114"/>
      <c r="AC210" s="115"/>
      <c r="AD210" s="116"/>
      <c r="AE210" s="114"/>
      <c r="AF210" s="114"/>
      <c r="AG210" s="114"/>
      <c r="AH210" s="1"/>
      <c r="AI210" s="95" t="str">
        <f aca="false">IF(INDEX($C:$C,210)&amp;INDEX($D:$D,210)="","",1)</f>
        <v/>
      </c>
      <c r="AJ210" s="95" t="str">
        <f aca="false">IF(OR(AI210="",INDEX($Z:$Z,210)="",INDEX($U:$U,210)="Declined"),"",1)</f>
        <v/>
      </c>
      <c r="AK210" s="95" t="str">
        <f aca="false">IF(AJ210="","",INDEX($Z:$Z,210)&amp;"-"&amp;COUNTIFS($Z$7:Z210,INDEX($Z:$Z,210),$AJ$7:AJ210,1))</f>
        <v/>
      </c>
      <c r="AL210" s="43" t="str">
        <f aca="false">IF(AI210="","",TRIM(INDEX($D:$D,210)&amp;" "&amp;INDEX($C:$C,210))&amp;IF(INDEX($I:$I,210)="Yes"," (child)",""))</f>
        <v/>
      </c>
      <c r="AM210" s="95" t="str">
        <f aca="false">IF(OR(AI210="",INDEX($X:$X,210)="",INDEX($U:$U,210)="Declined"),"",COUNTIFS($X$7:X210,"?*",$U$7:U210,"&lt;&gt;Declined",$AI$7:AI210,1))</f>
        <v/>
      </c>
      <c r="AN210" s="95" t="str">
        <f aca="false">IF(AI210="","",IF(INDEX($L:$L,210)="",1,IF(COUNTIF($L$7:L210,INDEX($L:$L,210))=1,1,"")))</f>
        <v/>
      </c>
      <c r="AO210" s="95" t="str">
        <f aca="false">IF(AN210&lt;&gt;1,"",IF(INDEX($L:$L,210)="",IF(INDEX($S:$S,210)="Yes",1,""),IF(COUNTIFS($L$7:$L$506,INDEX($L:$L,210),$S$7:$S$506,"Yes")&gt;0,1,"")))</f>
        <v/>
      </c>
      <c r="AP210" s="95" t="str">
        <f aca="false">IF(AN210&lt;&gt;1,"",IF(INDEX($L:$L,210)&lt;&gt;"",INDEX($L:$L,210),TRIM(INDEX($D:$D,210)&amp;" "&amp;INDEX($C:$C,210))))</f>
        <v/>
      </c>
      <c r="AQ210" s="43" t="str">
        <f aca="false">IF(OR(AI210="",INDEX($I:$I,210)="Yes"),"",1)</f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customFormat="false" ht="21.75" hidden="false" customHeight="true" outlineLevel="0" collapsed="false">
      <c r="A211" s="1"/>
      <c r="B211" s="113" t="str">
        <f aca="false">IF(AI211="","",COUNT($AI$7:AI211))</f>
        <v/>
      </c>
      <c r="C211" s="114"/>
      <c r="D211" s="114"/>
      <c r="E211" s="114"/>
      <c r="F211" s="114"/>
      <c r="G211" s="115"/>
      <c r="H211" s="115"/>
      <c r="I211" s="115"/>
      <c r="J211" s="115"/>
      <c r="K211" s="115"/>
      <c r="L211" s="114"/>
      <c r="M211" s="114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4"/>
      <c r="Y211" s="114"/>
      <c r="Z211" s="115"/>
      <c r="AA211" s="114"/>
      <c r="AB211" s="114"/>
      <c r="AC211" s="115"/>
      <c r="AD211" s="116"/>
      <c r="AE211" s="114"/>
      <c r="AF211" s="114"/>
      <c r="AG211" s="114"/>
      <c r="AH211" s="1"/>
      <c r="AI211" s="95" t="str">
        <f aca="false">IF(INDEX($C:$C,211)&amp;INDEX($D:$D,211)="","",1)</f>
        <v/>
      </c>
      <c r="AJ211" s="95" t="str">
        <f aca="false">IF(OR(AI211="",INDEX($Z:$Z,211)="",INDEX($U:$U,211)="Declined"),"",1)</f>
        <v/>
      </c>
      <c r="AK211" s="95" t="str">
        <f aca="false">IF(AJ211="","",INDEX($Z:$Z,211)&amp;"-"&amp;COUNTIFS($Z$7:Z211,INDEX($Z:$Z,211),$AJ$7:AJ211,1))</f>
        <v/>
      </c>
      <c r="AL211" s="43" t="str">
        <f aca="false">IF(AI211="","",TRIM(INDEX($D:$D,211)&amp;" "&amp;INDEX($C:$C,211))&amp;IF(INDEX($I:$I,211)="Yes"," (child)",""))</f>
        <v/>
      </c>
      <c r="AM211" s="95" t="str">
        <f aca="false">IF(OR(AI211="",INDEX($X:$X,211)="",INDEX($U:$U,211)="Declined"),"",COUNTIFS($X$7:X211,"?*",$U$7:U211,"&lt;&gt;Declined",$AI$7:AI211,1))</f>
        <v/>
      </c>
      <c r="AN211" s="95" t="str">
        <f aca="false">IF(AI211="","",IF(INDEX($L:$L,211)="",1,IF(COUNTIF($L$7:L211,INDEX($L:$L,211))=1,1,"")))</f>
        <v/>
      </c>
      <c r="AO211" s="95" t="str">
        <f aca="false">IF(AN211&lt;&gt;1,"",IF(INDEX($L:$L,211)="",IF(INDEX($S:$S,211)="Yes",1,""),IF(COUNTIFS($L$7:$L$506,INDEX($L:$L,211),$S$7:$S$506,"Yes")&gt;0,1,"")))</f>
        <v/>
      </c>
      <c r="AP211" s="95" t="str">
        <f aca="false">IF(AN211&lt;&gt;1,"",IF(INDEX($L:$L,211)&lt;&gt;"",INDEX($L:$L,211),TRIM(INDEX($D:$D,211)&amp;" "&amp;INDEX($C:$C,211))))</f>
        <v/>
      </c>
      <c r="AQ211" s="43" t="str">
        <f aca="false">IF(OR(AI211="",INDEX($I:$I,211)="Yes"),"",1)</f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customFormat="false" ht="21.75" hidden="false" customHeight="true" outlineLevel="0" collapsed="false">
      <c r="A212" s="1"/>
      <c r="B212" s="113" t="str">
        <f aca="false">IF(AI212="","",COUNT($AI$7:AI212))</f>
        <v/>
      </c>
      <c r="C212" s="114"/>
      <c r="D212" s="114"/>
      <c r="E212" s="114"/>
      <c r="F212" s="114"/>
      <c r="G212" s="115"/>
      <c r="H212" s="115"/>
      <c r="I212" s="115"/>
      <c r="J212" s="115"/>
      <c r="K212" s="115"/>
      <c r="L212" s="114"/>
      <c r="M212" s="114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4"/>
      <c r="Y212" s="114"/>
      <c r="Z212" s="115"/>
      <c r="AA212" s="114"/>
      <c r="AB212" s="114"/>
      <c r="AC212" s="115"/>
      <c r="AD212" s="116"/>
      <c r="AE212" s="114"/>
      <c r="AF212" s="114"/>
      <c r="AG212" s="114"/>
      <c r="AH212" s="1"/>
      <c r="AI212" s="95" t="str">
        <f aca="false">IF(INDEX($C:$C,212)&amp;INDEX($D:$D,212)="","",1)</f>
        <v/>
      </c>
      <c r="AJ212" s="95" t="str">
        <f aca="false">IF(OR(AI212="",INDEX($Z:$Z,212)="",INDEX($U:$U,212)="Declined"),"",1)</f>
        <v/>
      </c>
      <c r="AK212" s="95" t="str">
        <f aca="false">IF(AJ212="","",INDEX($Z:$Z,212)&amp;"-"&amp;COUNTIFS($Z$7:Z212,INDEX($Z:$Z,212),$AJ$7:AJ212,1))</f>
        <v/>
      </c>
      <c r="AL212" s="43" t="str">
        <f aca="false">IF(AI212="","",TRIM(INDEX($D:$D,212)&amp;" "&amp;INDEX($C:$C,212))&amp;IF(INDEX($I:$I,212)="Yes"," (child)",""))</f>
        <v/>
      </c>
      <c r="AM212" s="95" t="str">
        <f aca="false">IF(OR(AI212="",INDEX($X:$X,212)="",INDEX($U:$U,212)="Declined"),"",COUNTIFS($X$7:X212,"?*",$U$7:U212,"&lt;&gt;Declined",$AI$7:AI212,1))</f>
        <v/>
      </c>
      <c r="AN212" s="95" t="str">
        <f aca="false">IF(AI212="","",IF(INDEX($L:$L,212)="",1,IF(COUNTIF($L$7:L212,INDEX($L:$L,212))=1,1,"")))</f>
        <v/>
      </c>
      <c r="AO212" s="95" t="str">
        <f aca="false">IF(AN212&lt;&gt;1,"",IF(INDEX($L:$L,212)="",IF(INDEX($S:$S,212)="Yes",1,""),IF(COUNTIFS($L$7:$L$506,INDEX($L:$L,212),$S$7:$S$506,"Yes")&gt;0,1,"")))</f>
        <v/>
      </c>
      <c r="AP212" s="95" t="str">
        <f aca="false">IF(AN212&lt;&gt;1,"",IF(INDEX($L:$L,212)&lt;&gt;"",INDEX($L:$L,212),TRIM(INDEX($D:$D,212)&amp;" "&amp;INDEX($C:$C,212))))</f>
        <v/>
      </c>
      <c r="AQ212" s="43" t="str">
        <f aca="false">IF(OR(AI212="",INDEX($I:$I,212)="Yes"),"",1)</f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customFormat="false" ht="21.75" hidden="false" customHeight="true" outlineLevel="0" collapsed="false">
      <c r="A213" s="1"/>
      <c r="B213" s="113" t="str">
        <f aca="false">IF(AI213="","",COUNT($AI$7:AI213))</f>
        <v/>
      </c>
      <c r="C213" s="114"/>
      <c r="D213" s="114"/>
      <c r="E213" s="114"/>
      <c r="F213" s="114"/>
      <c r="G213" s="115"/>
      <c r="H213" s="115"/>
      <c r="I213" s="115"/>
      <c r="J213" s="115"/>
      <c r="K213" s="115"/>
      <c r="L213" s="114"/>
      <c r="M213" s="114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4"/>
      <c r="Y213" s="114"/>
      <c r="Z213" s="115"/>
      <c r="AA213" s="114"/>
      <c r="AB213" s="114"/>
      <c r="AC213" s="115"/>
      <c r="AD213" s="116"/>
      <c r="AE213" s="114"/>
      <c r="AF213" s="114"/>
      <c r="AG213" s="114"/>
      <c r="AH213" s="1"/>
      <c r="AI213" s="95" t="str">
        <f aca="false">IF(INDEX($C:$C,213)&amp;INDEX($D:$D,213)="","",1)</f>
        <v/>
      </c>
      <c r="AJ213" s="95" t="str">
        <f aca="false">IF(OR(AI213="",INDEX($Z:$Z,213)="",INDEX($U:$U,213)="Declined"),"",1)</f>
        <v/>
      </c>
      <c r="AK213" s="95" t="str">
        <f aca="false">IF(AJ213="","",INDEX($Z:$Z,213)&amp;"-"&amp;COUNTIFS($Z$7:Z213,INDEX($Z:$Z,213),$AJ$7:AJ213,1))</f>
        <v/>
      </c>
      <c r="AL213" s="43" t="str">
        <f aca="false">IF(AI213="","",TRIM(INDEX($D:$D,213)&amp;" "&amp;INDEX($C:$C,213))&amp;IF(INDEX($I:$I,213)="Yes"," (child)",""))</f>
        <v/>
      </c>
      <c r="AM213" s="95" t="str">
        <f aca="false">IF(OR(AI213="",INDEX($X:$X,213)="",INDEX($U:$U,213)="Declined"),"",COUNTIFS($X$7:X213,"?*",$U$7:U213,"&lt;&gt;Declined",$AI$7:AI213,1))</f>
        <v/>
      </c>
      <c r="AN213" s="95" t="str">
        <f aca="false">IF(AI213="","",IF(INDEX($L:$L,213)="",1,IF(COUNTIF($L$7:L213,INDEX($L:$L,213))=1,1,"")))</f>
        <v/>
      </c>
      <c r="AO213" s="95" t="str">
        <f aca="false">IF(AN213&lt;&gt;1,"",IF(INDEX($L:$L,213)="",IF(INDEX($S:$S,213)="Yes",1,""),IF(COUNTIFS($L$7:$L$506,INDEX($L:$L,213),$S$7:$S$506,"Yes")&gt;0,1,"")))</f>
        <v/>
      </c>
      <c r="AP213" s="95" t="str">
        <f aca="false">IF(AN213&lt;&gt;1,"",IF(INDEX($L:$L,213)&lt;&gt;"",INDEX($L:$L,213),TRIM(INDEX($D:$D,213)&amp;" "&amp;INDEX($C:$C,213))))</f>
        <v/>
      </c>
      <c r="AQ213" s="43" t="str">
        <f aca="false">IF(OR(AI213="",INDEX($I:$I,213)="Yes"),"",1)</f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customFormat="false" ht="21.75" hidden="false" customHeight="true" outlineLevel="0" collapsed="false">
      <c r="A214" s="1"/>
      <c r="B214" s="113" t="str">
        <f aca="false">IF(AI214="","",COUNT($AI$7:AI214))</f>
        <v/>
      </c>
      <c r="C214" s="114"/>
      <c r="D214" s="114"/>
      <c r="E214" s="114"/>
      <c r="F214" s="114"/>
      <c r="G214" s="115"/>
      <c r="H214" s="115"/>
      <c r="I214" s="115"/>
      <c r="J214" s="115"/>
      <c r="K214" s="115"/>
      <c r="L214" s="114"/>
      <c r="M214" s="114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4"/>
      <c r="Y214" s="114"/>
      <c r="Z214" s="115"/>
      <c r="AA214" s="114"/>
      <c r="AB214" s="114"/>
      <c r="AC214" s="115"/>
      <c r="AD214" s="116"/>
      <c r="AE214" s="114"/>
      <c r="AF214" s="114"/>
      <c r="AG214" s="114"/>
      <c r="AH214" s="1"/>
      <c r="AI214" s="95" t="str">
        <f aca="false">IF(INDEX($C:$C,214)&amp;INDEX($D:$D,214)="","",1)</f>
        <v/>
      </c>
      <c r="AJ214" s="95" t="str">
        <f aca="false">IF(OR(AI214="",INDEX($Z:$Z,214)="",INDEX($U:$U,214)="Declined"),"",1)</f>
        <v/>
      </c>
      <c r="AK214" s="95" t="str">
        <f aca="false">IF(AJ214="","",INDEX($Z:$Z,214)&amp;"-"&amp;COUNTIFS($Z$7:Z214,INDEX($Z:$Z,214),$AJ$7:AJ214,1))</f>
        <v/>
      </c>
      <c r="AL214" s="43" t="str">
        <f aca="false">IF(AI214="","",TRIM(INDEX($D:$D,214)&amp;" "&amp;INDEX($C:$C,214))&amp;IF(INDEX($I:$I,214)="Yes"," (child)",""))</f>
        <v/>
      </c>
      <c r="AM214" s="95" t="str">
        <f aca="false">IF(OR(AI214="",INDEX($X:$X,214)="",INDEX($U:$U,214)="Declined"),"",COUNTIFS($X$7:X214,"?*",$U$7:U214,"&lt;&gt;Declined",$AI$7:AI214,1))</f>
        <v/>
      </c>
      <c r="AN214" s="95" t="str">
        <f aca="false">IF(AI214="","",IF(INDEX($L:$L,214)="",1,IF(COUNTIF($L$7:L214,INDEX($L:$L,214))=1,1,"")))</f>
        <v/>
      </c>
      <c r="AO214" s="95" t="str">
        <f aca="false">IF(AN214&lt;&gt;1,"",IF(INDEX($L:$L,214)="",IF(INDEX($S:$S,214)="Yes",1,""),IF(COUNTIFS($L$7:$L$506,INDEX($L:$L,214),$S$7:$S$506,"Yes")&gt;0,1,"")))</f>
        <v/>
      </c>
      <c r="AP214" s="95" t="str">
        <f aca="false">IF(AN214&lt;&gt;1,"",IF(INDEX($L:$L,214)&lt;&gt;"",INDEX($L:$L,214),TRIM(INDEX($D:$D,214)&amp;" "&amp;INDEX($C:$C,214))))</f>
        <v/>
      </c>
      <c r="AQ214" s="43" t="str">
        <f aca="false">IF(OR(AI214="",INDEX($I:$I,214)="Yes"),"",1)</f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customFormat="false" ht="21.75" hidden="false" customHeight="true" outlineLevel="0" collapsed="false">
      <c r="A215" s="1"/>
      <c r="B215" s="113" t="str">
        <f aca="false">IF(AI215="","",COUNT($AI$7:AI215))</f>
        <v/>
      </c>
      <c r="C215" s="114"/>
      <c r="D215" s="114"/>
      <c r="E215" s="114"/>
      <c r="F215" s="114"/>
      <c r="G215" s="115"/>
      <c r="H215" s="115"/>
      <c r="I215" s="115"/>
      <c r="J215" s="115"/>
      <c r="K215" s="115"/>
      <c r="L215" s="114"/>
      <c r="M215" s="114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4"/>
      <c r="Y215" s="114"/>
      <c r="Z215" s="115"/>
      <c r="AA215" s="114"/>
      <c r="AB215" s="114"/>
      <c r="AC215" s="115"/>
      <c r="AD215" s="116"/>
      <c r="AE215" s="114"/>
      <c r="AF215" s="114"/>
      <c r="AG215" s="114"/>
      <c r="AH215" s="1"/>
      <c r="AI215" s="95" t="str">
        <f aca="false">IF(INDEX($C:$C,215)&amp;INDEX($D:$D,215)="","",1)</f>
        <v/>
      </c>
      <c r="AJ215" s="95" t="str">
        <f aca="false">IF(OR(AI215="",INDEX($Z:$Z,215)="",INDEX($U:$U,215)="Declined"),"",1)</f>
        <v/>
      </c>
      <c r="AK215" s="95" t="str">
        <f aca="false">IF(AJ215="","",INDEX($Z:$Z,215)&amp;"-"&amp;COUNTIFS($Z$7:Z215,INDEX($Z:$Z,215),$AJ$7:AJ215,1))</f>
        <v/>
      </c>
      <c r="AL215" s="43" t="str">
        <f aca="false">IF(AI215="","",TRIM(INDEX($D:$D,215)&amp;" "&amp;INDEX($C:$C,215))&amp;IF(INDEX($I:$I,215)="Yes"," (child)",""))</f>
        <v/>
      </c>
      <c r="AM215" s="95" t="str">
        <f aca="false">IF(OR(AI215="",INDEX($X:$X,215)="",INDEX($U:$U,215)="Declined"),"",COUNTIFS($X$7:X215,"?*",$U$7:U215,"&lt;&gt;Declined",$AI$7:AI215,1))</f>
        <v/>
      </c>
      <c r="AN215" s="95" t="str">
        <f aca="false">IF(AI215="","",IF(INDEX($L:$L,215)="",1,IF(COUNTIF($L$7:L215,INDEX($L:$L,215))=1,1,"")))</f>
        <v/>
      </c>
      <c r="AO215" s="95" t="str">
        <f aca="false">IF(AN215&lt;&gt;1,"",IF(INDEX($L:$L,215)="",IF(INDEX($S:$S,215)="Yes",1,""),IF(COUNTIFS($L$7:$L$506,INDEX($L:$L,215),$S$7:$S$506,"Yes")&gt;0,1,"")))</f>
        <v/>
      </c>
      <c r="AP215" s="95" t="str">
        <f aca="false">IF(AN215&lt;&gt;1,"",IF(INDEX($L:$L,215)&lt;&gt;"",INDEX($L:$L,215),TRIM(INDEX($D:$D,215)&amp;" "&amp;INDEX($C:$C,215))))</f>
        <v/>
      </c>
      <c r="AQ215" s="43" t="str">
        <f aca="false">IF(OR(AI215="",INDEX($I:$I,215)="Yes"),"",1)</f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customFormat="false" ht="21.75" hidden="false" customHeight="true" outlineLevel="0" collapsed="false">
      <c r="A216" s="1"/>
      <c r="B216" s="113" t="str">
        <f aca="false">IF(AI216="","",COUNT($AI$7:AI216))</f>
        <v/>
      </c>
      <c r="C216" s="114"/>
      <c r="D216" s="114"/>
      <c r="E216" s="114"/>
      <c r="F216" s="114"/>
      <c r="G216" s="115"/>
      <c r="H216" s="115"/>
      <c r="I216" s="115"/>
      <c r="J216" s="115"/>
      <c r="K216" s="115"/>
      <c r="L216" s="114"/>
      <c r="M216" s="114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4"/>
      <c r="Y216" s="114"/>
      <c r="Z216" s="115"/>
      <c r="AA216" s="114"/>
      <c r="AB216" s="114"/>
      <c r="AC216" s="115"/>
      <c r="AD216" s="116"/>
      <c r="AE216" s="114"/>
      <c r="AF216" s="114"/>
      <c r="AG216" s="114"/>
      <c r="AH216" s="1"/>
      <c r="AI216" s="95" t="str">
        <f aca="false">IF(INDEX($C:$C,216)&amp;INDEX($D:$D,216)="","",1)</f>
        <v/>
      </c>
      <c r="AJ216" s="95" t="str">
        <f aca="false">IF(OR(AI216="",INDEX($Z:$Z,216)="",INDEX($U:$U,216)="Declined"),"",1)</f>
        <v/>
      </c>
      <c r="AK216" s="95" t="str">
        <f aca="false">IF(AJ216="","",INDEX($Z:$Z,216)&amp;"-"&amp;COUNTIFS($Z$7:Z216,INDEX($Z:$Z,216),$AJ$7:AJ216,1))</f>
        <v/>
      </c>
      <c r="AL216" s="43" t="str">
        <f aca="false">IF(AI216="","",TRIM(INDEX($D:$D,216)&amp;" "&amp;INDEX($C:$C,216))&amp;IF(INDEX($I:$I,216)="Yes"," (child)",""))</f>
        <v/>
      </c>
      <c r="AM216" s="95" t="str">
        <f aca="false">IF(OR(AI216="",INDEX($X:$X,216)="",INDEX($U:$U,216)="Declined"),"",COUNTIFS($X$7:X216,"?*",$U$7:U216,"&lt;&gt;Declined",$AI$7:AI216,1))</f>
        <v/>
      </c>
      <c r="AN216" s="95" t="str">
        <f aca="false">IF(AI216="","",IF(INDEX($L:$L,216)="",1,IF(COUNTIF($L$7:L216,INDEX($L:$L,216))=1,1,"")))</f>
        <v/>
      </c>
      <c r="AO216" s="95" t="str">
        <f aca="false">IF(AN216&lt;&gt;1,"",IF(INDEX($L:$L,216)="",IF(INDEX($S:$S,216)="Yes",1,""),IF(COUNTIFS($L$7:$L$506,INDEX($L:$L,216),$S$7:$S$506,"Yes")&gt;0,1,"")))</f>
        <v/>
      </c>
      <c r="AP216" s="95" t="str">
        <f aca="false">IF(AN216&lt;&gt;1,"",IF(INDEX($L:$L,216)&lt;&gt;"",INDEX($L:$L,216),TRIM(INDEX($D:$D,216)&amp;" "&amp;INDEX($C:$C,216))))</f>
        <v/>
      </c>
      <c r="AQ216" s="43" t="str">
        <f aca="false">IF(OR(AI216="",INDEX($I:$I,216)="Yes"),"",1)</f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customFormat="false" ht="21.75" hidden="false" customHeight="true" outlineLevel="0" collapsed="false">
      <c r="A217" s="1"/>
      <c r="B217" s="113" t="str">
        <f aca="false">IF(AI217="","",COUNT($AI$7:AI217))</f>
        <v/>
      </c>
      <c r="C217" s="114"/>
      <c r="D217" s="114"/>
      <c r="E217" s="114"/>
      <c r="F217" s="114"/>
      <c r="G217" s="115"/>
      <c r="H217" s="115"/>
      <c r="I217" s="115"/>
      <c r="J217" s="115"/>
      <c r="K217" s="115"/>
      <c r="L217" s="114"/>
      <c r="M217" s="114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4"/>
      <c r="Y217" s="114"/>
      <c r="Z217" s="115"/>
      <c r="AA217" s="114"/>
      <c r="AB217" s="114"/>
      <c r="AC217" s="115"/>
      <c r="AD217" s="116"/>
      <c r="AE217" s="114"/>
      <c r="AF217" s="114"/>
      <c r="AG217" s="114"/>
      <c r="AH217" s="1"/>
      <c r="AI217" s="95" t="str">
        <f aca="false">IF(INDEX($C:$C,217)&amp;INDEX($D:$D,217)="","",1)</f>
        <v/>
      </c>
      <c r="AJ217" s="95" t="str">
        <f aca="false">IF(OR(AI217="",INDEX($Z:$Z,217)="",INDEX($U:$U,217)="Declined"),"",1)</f>
        <v/>
      </c>
      <c r="AK217" s="95" t="str">
        <f aca="false">IF(AJ217="","",INDEX($Z:$Z,217)&amp;"-"&amp;COUNTIFS($Z$7:Z217,INDEX($Z:$Z,217),$AJ$7:AJ217,1))</f>
        <v/>
      </c>
      <c r="AL217" s="43" t="str">
        <f aca="false">IF(AI217="","",TRIM(INDEX($D:$D,217)&amp;" "&amp;INDEX($C:$C,217))&amp;IF(INDEX($I:$I,217)="Yes"," (child)",""))</f>
        <v/>
      </c>
      <c r="AM217" s="95" t="str">
        <f aca="false">IF(OR(AI217="",INDEX($X:$X,217)="",INDEX($U:$U,217)="Declined"),"",COUNTIFS($X$7:X217,"?*",$U$7:U217,"&lt;&gt;Declined",$AI$7:AI217,1))</f>
        <v/>
      </c>
      <c r="AN217" s="95" t="str">
        <f aca="false">IF(AI217="","",IF(INDEX($L:$L,217)="",1,IF(COUNTIF($L$7:L217,INDEX($L:$L,217))=1,1,"")))</f>
        <v/>
      </c>
      <c r="AO217" s="95" t="str">
        <f aca="false">IF(AN217&lt;&gt;1,"",IF(INDEX($L:$L,217)="",IF(INDEX($S:$S,217)="Yes",1,""),IF(COUNTIFS($L$7:$L$506,INDEX($L:$L,217),$S$7:$S$506,"Yes")&gt;0,1,"")))</f>
        <v/>
      </c>
      <c r="AP217" s="95" t="str">
        <f aca="false">IF(AN217&lt;&gt;1,"",IF(INDEX($L:$L,217)&lt;&gt;"",INDEX($L:$L,217),TRIM(INDEX($D:$D,217)&amp;" "&amp;INDEX($C:$C,217))))</f>
        <v/>
      </c>
      <c r="AQ217" s="43" t="str">
        <f aca="false">IF(OR(AI217="",INDEX($I:$I,217)="Yes"),"",1)</f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customFormat="false" ht="21.75" hidden="false" customHeight="true" outlineLevel="0" collapsed="false">
      <c r="A218" s="1"/>
      <c r="B218" s="113" t="str">
        <f aca="false">IF(AI218="","",COUNT($AI$7:AI218))</f>
        <v/>
      </c>
      <c r="C218" s="114"/>
      <c r="D218" s="114"/>
      <c r="E218" s="114"/>
      <c r="F218" s="114"/>
      <c r="G218" s="115"/>
      <c r="H218" s="115"/>
      <c r="I218" s="115"/>
      <c r="J218" s="115"/>
      <c r="K218" s="115"/>
      <c r="L218" s="114"/>
      <c r="M218" s="114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4"/>
      <c r="Y218" s="114"/>
      <c r="Z218" s="115"/>
      <c r="AA218" s="114"/>
      <c r="AB218" s="114"/>
      <c r="AC218" s="115"/>
      <c r="AD218" s="116"/>
      <c r="AE218" s="114"/>
      <c r="AF218" s="114"/>
      <c r="AG218" s="114"/>
      <c r="AH218" s="1"/>
      <c r="AI218" s="95" t="str">
        <f aca="false">IF(INDEX($C:$C,218)&amp;INDEX($D:$D,218)="","",1)</f>
        <v/>
      </c>
      <c r="AJ218" s="95" t="str">
        <f aca="false">IF(OR(AI218="",INDEX($Z:$Z,218)="",INDEX($U:$U,218)="Declined"),"",1)</f>
        <v/>
      </c>
      <c r="AK218" s="95" t="str">
        <f aca="false">IF(AJ218="","",INDEX($Z:$Z,218)&amp;"-"&amp;COUNTIFS($Z$7:Z218,INDEX($Z:$Z,218),$AJ$7:AJ218,1))</f>
        <v/>
      </c>
      <c r="AL218" s="43" t="str">
        <f aca="false">IF(AI218="","",TRIM(INDEX($D:$D,218)&amp;" "&amp;INDEX($C:$C,218))&amp;IF(INDEX($I:$I,218)="Yes"," (child)",""))</f>
        <v/>
      </c>
      <c r="AM218" s="95" t="str">
        <f aca="false">IF(OR(AI218="",INDEX($X:$X,218)="",INDEX($U:$U,218)="Declined"),"",COUNTIFS($X$7:X218,"?*",$U$7:U218,"&lt;&gt;Declined",$AI$7:AI218,1))</f>
        <v/>
      </c>
      <c r="AN218" s="95" t="str">
        <f aca="false">IF(AI218="","",IF(INDEX($L:$L,218)="",1,IF(COUNTIF($L$7:L218,INDEX($L:$L,218))=1,1,"")))</f>
        <v/>
      </c>
      <c r="AO218" s="95" t="str">
        <f aca="false">IF(AN218&lt;&gt;1,"",IF(INDEX($L:$L,218)="",IF(INDEX($S:$S,218)="Yes",1,""),IF(COUNTIFS($L$7:$L$506,INDEX($L:$L,218),$S$7:$S$506,"Yes")&gt;0,1,"")))</f>
        <v/>
      </c>
      <c r="AP218" s="95" t="str">
        <f aca="false">IF(AN218&lt;&gt;1,"",IF(INDEX($L:$L,218)&lt;&gt;"",INDEX($L:$L,218),TRIM(INDEX($D:$D,218)&amp;" "&amp;INDEX($C:$C,218))))</f>
        <v/>
      </c>
      <c r="AQ218" s="43" t="str">
        <f aca="false">IF(OR(AI218="",INDEX($I:$I,218)="Yes"),"",1)</f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customFormat="false" ht="21.75" hidden="false" customHeight="true" outlineLevel="0" collapsed="false">
      <c r="A219" s="1"/>
      <c r="B219" s="113" t="str">
        <f aca="false">IF(AI219="","",COUNT($AI$7:AI219))</f>
        <v/>
      </c>
      <c r="C219" s="114"/>
      <c r="D219" s="114"/>
      <c r="E219" s="114"/>
      <c r="F219" s="114"/>
      <c r="G219" s="115"/>
      <c r="H219" s="115"/>
      <c r="I219" s="115"/>
      <c r="J219" s="115"/>
      <c r="K219" s="115"/>
      <c r="L219" s="114"/>
      <c r="M219" s="114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4"/>
      <c r="Y219" s="114"/>
      <c r="Z219" s="115"/>
      <c r="AA219" s="114"/>
      <c r="AB219" s="114"/>
      <c r="AC219" s="115"/>
      <c r="AD219" s="116"/>
      <c r="AE219" s="114"/>
      <c r="AF219" s="114"/>
      <c r="AG219" s="114"/>
      <c r="AH219" s="1"/>
      <c r="AI219" s="95" t="str">
        <f aca="false">IF(INDEX($C:$C,219)&amp;INDEX($D:$D,219)="","",1)</f>
        <v/>
      </c>
      <c r="AJ219" s="95" t="str">
        <f aca="false">IF(OR(AI219="",INDEX($Z:$Z,219)="",INDEX($U:$U,219)="Declined"),"",1)</f>
        <v/>
      </c>
      <c r="AK219" s="95" t="str">
        <f aca="false">IF(AJ219="","",INDEX($Z:$Z,219)&amp;"-"&amp;COUNTIFS($Z$7:Z219,INDEX($Z:$Z,219),$AJ$7:AJ219,1))</f>
        <v/>
      </c>
      <c r="AL219" s="43" t="str">
        <f aca="false">IF(AI219="","",TRIM(INDEX($D:$D,219)&amp;" "&amp;INDEX($C:$C,219))&amp;IF(INDEX($I:$I,219)="Yes"," (child)",""))</f>
        <v/>
      </c>
      <c r="AM219" s="95" t="str">
        <f aca="false">IF(OR(AI219="",INDEX($X:$X,219)="",INDEX($U:$U,219)="Declined"),"",COUNTIFS($X$7:X219,"?*",$U$7:U219,"&lt;&gt;Declined",$AI$7:AI219,1))</f>
        <v/>
      </c>
      <c r="AN219" s="95" t="str">
        <f aca="false">IF(AI219="","",IF(INDEX($L:$L,219)="",1,IF(COUNTIF($L$7:L219,INDEX($L:$L,219))=1,1,"")))</f>
        <v/>
      </c>
      <c r="AO219" s="95" t="str">
        <f aca="false">IF(AN219&lt;&gt;1,"",IF(INDEX($L:$L,219)="",IF(INDEX($S:$S,219)="Yes",1,""),IF(COUNTIFS($L$7:$L$506,INDEX($L:$L,219),$S$7:$S$506,"Yes")&gt;0,1,"")))</f>
        <v/>
      </c>
      <c r="AP219" s="95" t="str">
        <f aca="false">IF(AN219&lt;&gt;1,"",IF(INDEX($L:$L,219)&lt;&gt;"",INDEX($L:$L,219),TRIM(INDEX($D:$D,219)&amp;" "&amp;INDEX($C:$C,219))))</f>
        <v/>
      </c>
      <c r="AQ219" s="43" t="str">
        <f aca="false">IF(OR(AI219="",INDEX($I:$I,219)="Yes"),"",1)</f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customFormat="false" ht="21.75" hidden="false" customHeight="true" outlineLevel="0" collapsed="false">
      <c r="A220" s="1"/>
      <c r="B220" s="113" t="str">
        <f aca="false">IF(AI220="","",COUNT($AI$7:AI220))</f>
        <v/>
      </c>
      <c r="C220" s="114"/>
      <c r="D220" s="114"/>
      <c r="E220" s="114"/>
      <c r="F220" s="114"/>
      <c r="G220" s="115"/>
      <c r="H220" s="115"/>
      <c r="I220" s="115"/>
      <c r="J220" s="115"/>
      <c r="K220" s="115"/>
      <c r="L220" s="114"/>
      <c r="M220" s="114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4"/>
      <c r="Y220" s="114"/>
      <c r="Z220" s="115"/>
      <c r="AA220" s="114"/>
      <c r="AB220" s="114"/>
      <c r="AC220" s="115"/>
      <c r="AD220" s="116"/>
      <c r="AE220" s="114"/>
      <c r="AF220" s="114"/>
      <c r="AG220" s="114"/>
      <c r="AH220" s="1"/>
      <c r="AI220" s="95" t="str">
        <f aca="false">IF(INDEX($C:$C,220)&amp;INDEX($D:$D,220)="","",1)</f>
        <v/>
      </c>
      <c r="AJ220" s="95" t="str">
        <f aca="false">IF(OR(AI220="",INDEX($Z:$Z,220)="",INDEX($U:$U,220)="Declined"),"",1)</f>
        <v/>
      </c>
      <c r="AK220" s="95" t="str">
        <f aca="false">IF(AJ220="","",INDEX($Z:$Z,220)&amp;"-"&amp;COUNTIFS($Z$7:Z220,INDEX($Z:$Z,220),$AJ$7:AJ220,1))</f>
        <v/>
      </c>
      <c r="AL220" s="43" t="str">
        <f aca="false">IF(AI220="","",TRIM(INDEX($D:$D,220)&amp;" "&amp;INDEX($C:$C,220))&amp;IF(INDEX($I:$I,220)="Yes"," (child)",""))</f>
        <v/>
      </c>
      <c r="AM220" s="95" t="str">
        <f aca="false">IF(OR(AI220="",INDEX($X:$X,220)="",INDEX($U:$U,220)="Declined"),"",COUNTIFS($X$7:X220,"?*",$U$7:U220,"&lt;&gt;Declined",$AI$7:AI220,1))</f>
        <v/>
      </c>
      <c r="AN220" s="95" t="str">
        <f aca="false">IF(AI220="","",IF(INDEX($L:$L,220)="",1,IF(COUNTIF($L$7:L220,INDEX($L:$L,220))=1,1,"")))</f>
        <v/>
      </c>
      <c r="AO220" s="95" t="str">
        <f aca="false">IF(AN220&lt;&gt;1,"",IF(INDEX($L:$L,220)="",IF(INDEX($S:$S,220)="Yes",1,""),IF(COUNTIFS($L$7:$L$506,INDEX($L:$L,220),$S$7:$S$506,"Yes")&gt;0,1,"")))</f>
        <v/>
      </c>
      <c r="AP220" s="95" t="str">
        <f aca="false">IF(AN220&lt;&gt;1,"",IF(INDEX($L:$L,220)&lt;&gt;"",INDEX($L:$L,220),TRIM(INDEX($D:$D,220)&amp;" "&amp;INDEX($C:$C,220))))</f>
        <v/>
      </c>
      <c r="AQ220" s="43" t="str">
        <f aca="false">IF(OR(AI220="",INDEX($I:$I,220)="Yes"),"",1)</f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customFormat="false" ht="21.75" hidden="false" customHeight="true" outlineLevel="0" collapsed="false">
      <c r="A221" s="1"/>
      <c r="B221" s="113" t="str">
        <f aca="false">IF(AI221="","",COUNT($AI$7:AI221))</f>
        <v/>
      </c>
      <c r="C221" s="114"/>
      <c r="D221" s="114"/>
      <c r="E221" s="114"/>
      <c r="F221" s="114"/>
      <c r="G221" s="115"/>
      <c r="H221" s="115"/>
      <c r="I221" s="115"/>
      <c r="J221" s="115"/>
      <c r="K221" s="115"/>
      <c r="L221" s="114"/>
      <c r="M221" s="114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4"/>
      <c r="Y221" s="114"/>
      <c r="Z221" s="115"/>
      <c r="AA221" s="114"/>
      <c r="AB221" s="114"/>
      <c r="AC221" s="115"/>
      <c r="AD221" s="116"/>
      <c r="AE221" s="114"/>
      <c r="AF221" s="114"/>
      <c r="AG221" s="114"/>
      <c r="AH221" s="1"/>
      <c r="AI221" s="95" t="str">
        <f aca="false">IF(INDEX($C:$C,221)&amp;INDEX($D:$D,221)="","",1)</f>
        <v/>
      </c>
      <c r="AJ221" s="95" t="str">
        <f aca="false">IF(OR(AI221="",INDEX($Z:$Z,221)="",INDEX($U:$U,221)="Declined"),"",1)</f>
        <v/>
      </c>
      <c r="AK221" s="95" t="str">
        <f aca="false">IF(AJ221="","",INDEX($Z:$Z,221)&amp;"-"&amp;COUNTIFS($Z$7:Z221,INDEX($Z:$Z,221),$AJ$7:AJ221,1))</f>
        <v/>
      </c>
      <c r="AL221" s="43" t="str">
        <f aca="false">IF(AI221="","",TRIM(INDEX($D:$D,221)&amp;" "&amp;INDEX($C:$C,221))&amp;IF(INDEX($I:$I,221)="Yes"," (child)",""))</f>
        <v/>
      </c>
      <c r="AM221" s="95" t="str">
        <f aca="false">IF(OR(AI221="",INDEX($X:$X,221)="",INDEX($U:$U,221)="Declined"),"",COUNTIFS($X$7:X221,"?*",$U$7:U221,"&lt;&gt;Declined",$AI$7:AI221,1))</f>
        <v/>
      </c>
      <c r="AN221" s="95" t="str">
        <f aca="false">IF(AI221="","",IF(INDEX($L:$L,221)="",1,IF(COUNTIF($L$7:L221,INDEX($L:$L,221))=1,1,"")))</f>
        <v/>
      </c>
      <c r="AO221" s="95" t="str">
        <f aca="false">IF(AN221&lt;&gt;1,"",IF(INDEX($L:$L,221)="",IF(INDEX($S:$S,221)="Yes",1,""),IF(COUNTIFS($L$7:$L$506,INDEX($L:$L,221),$S$7:$S$506,"Yes")&gt;0,1,"")))</f>
        <v/>
      </c>
      <c r="AP221" s="95" t="str">
        <f aca="false">IF(AN221&lt;&gt;1,"",IF(INDEX($L:$L,221)&lt;&gt;"",INDEX($L:$L,221),TRIM(INDEX($D:$D,221)&amp;" "&amp;INDEX($C:$C,221))))</f>
        <v/>
      </c>
      <c r="AQ221" s="43" t="str">
        <f aca="false">IF(OR(AI221="",INDEX($I:$I,221)="Yes"),"",1)</f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customFormat="false" ht="21.75" hidden="false" customHeight="true" outlineLevel="0" collapsed="false">
      <c r="A222" s="1"/>
      <c r="B222" s="113" t="str">
        <f aca="false">IF(AI222="","",COUNT($AI$7:AI222))</f>
        <v/>
      </c>
      <c r="C222" s="114"/>
      <c r="D222" s="114"/>
      <c r="E222" s="114"/>
      <c r="F222" s="114"/>
      <c r="G222" s="115"/>
      <c r="H222" s="115"/>
      <c r="I222" s="115"/>
      <c r="J222" s="115"/>
      <c r="K222" s="115"/>
      <c r="L222" s="114"/>
      <c r="M222" s="114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4"/>
      <c r="Y222" s="114"/>
      <c r="Z222" s="115"/>
      <c r="AA222" s="114"/>
      <c r="AB222" s="114"/>
      <c r="AC222" s="115"/>
      <c r="AD222" s="116"/>
      <c r="AE222" s="114"/>
      <c r="AF222" s="114"/>
      <c r="AG222" s="114"/>
      <c r="AH222" s="1"/>
      <c r="AI222" s="95" t="str">
        <f aca="false">IF(INDEX($C:$C,222)&amp;INDEX($D:$D,222)="","",1)</f>
        <v/>
      </c>
      <c r="AJ222" s="95" t="str">
        <f aca="false">IF(OR(AI222="",INDEX($Z:$Z,222)="",INDEX($U:$U,222)="Declined"),"",1)</f>
        <v/>
      </c>
      <c r="AK222" s="95" t="str">
        <f aca="false">IF(AJ222="","",INDEX($Z:$Z,222)&amp;"-"&amp;COUNTIFS($Z$7:Z222,INDEX($Z:$Z,222),$AJ$7:AJ222,1))</f>
        <v/>
      </c>
      <c r="AL222" s="43" t="str">
        <f aca="false">IF(AI222="","",TRIM(INDEX($D:$D,222)&amp;" "&amp;INDEX($C:$C,222))&amp;IF(INDEX($I:$I,222)="Yes"," (child)",""))</f>
        <v/>
      </c>
      <c r="AM222" s="95" t="str">
        <f aca="false">IF(OR(AI222="",INDEX($X:$X,222)="",INDEX($U:$U,222)="Declined"),"",COUNTIFS($X$7:X222,"?*",$U$7:U222,"&lt;&gt;Declined",$AI$7:AI222,1))</f>
        <v/>
      </c>
      <c r="AN222" s="95" t="str">
        <f aca="false">IF(AI222="","",IF(INDEX($L:$L,222)="",1,IF(COUNTIF($L$7:L222,INDEX($L:$L,222))=1,1,"")))</f>
        <v/>
      </c>
      <c r="AO222" s="95" t="str">
        <f aca="false">IF(AN222&lt;&gt;1,"",IF(INDEX($L:$L,222)="",IF(INDEX($S:$S,222)="Yes",1,""),IF(COUNTIFS($L$7:$L$506,INDEX($L:$L,222),$S$7:$S$506,"Yes")&gt;0,1,"")))</f>
        <v/>
      </c>
      <c r="AP222" s="95" t="str">
        <f aca="false">IF(AN222&lt;&gt;1,"",IF(INDEX($L:$L,222)&lt;&gt;"",INDEX($L:$L,222),TRIM(INDEX($D:$D,222)&amp;" "&amp;INDEX($C:$C,222))))</f>
        <v/>
      </c>
      <c r="AQ222" s="43" t="str">
        <f aca="false">IF(OR(AI222="",INDEX($I:$I,222)="Yes"),"",1)</f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customFormat="false" ht="21.75" hidden="false" customHeight="true" outlineLevel="0" collapsed="false">
      <c r="A223" s="1"/>
      <c r="B223" s="113" t="str">
        <f aca="false">IF(AI223="","",COUNT($AI$7:AI223))</f>
        <v/>
      </c>
      <c r="C223" s="114"/>
      <c r="D223" s="114"/>
      <c r="E223" s="114"/>
      <c r="F223" s="114"/>
      <c r="G223" s="115"/>
      <c r="H223" s="115"/>
      <c r="I223" s="115"/>
      <c r="J223" s="115"/>
      <c r="K223" s="115"/>
      <c r="L223" s="114"/>
      <c r="M223" s="114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4"/>
      <c r="Y223" s="114"/>
      <c r="Z223" s="115"/>
      <c r="AA223" s="114"/>
      <c r="AB223" s="114"/>
      <c r="AC223" s="115"/>
      <c r="AD223" s="116"/>
      <c r="AE223" s="114"/>
      <c r="AF223" s="114"/>
      <c r="AG223" s="114"/>
      <c r="AH223" s="1"/>
      <c r="AI223" s="95" t="str">
        <f aca="false">IF(INDEX($C:$C,223)&amp;INDEX($D:$D,223)="","",1)</f>
        <v/>
      </c>
      <c r="AJ223" s="95" t="str">
        <f aca="false">IF(OR(AI223="",INDEX($Z:$Z,223)="",INDEX($U:$U,223)="Declined"),"",1)</f>
        <v/>
      </c>
      <c r="AK223" s="95" t="str">
        <f aca="false">IF(AJ223="","",INDEX($Z:$Z,223)&amp;"-"&amp;COUNTIFS($Z$7:Z223,INDEX($Z:$Z,223),$AJ$7:AJ223,1))</f>
        <v/>
      </c>
      <c r="AL223" s="43" t="str">
        <f aca="false">IF(AI223="","",TRIM(INDEX($D:$D,223)&amp;" "&amp;INDEX($C:$C,223))&amp;IF(INDEX($I:$I,223)="Yes"," (child)",""))</f>
        <v/>
      </c>
      <c r="AM223" s="95" t="str">
        <f aca="false">IF(OR(AI223="",INDEX($X:$X,223)="",INDEX($U:$U,223)="Declined"),"",COUNTIFS($X$7:X223,"?*",$U$7:U223,"&lt;&gt;Declined",$AI$7:AI223,1))</f>
        <v/>
      </c>
      <c r="AN223" s="95" t="str">
        <f aca="false">IF(AI223="","",IF(INDEX($L:$L,223)="",1,IF(COUNTIF($L$7:L223,INDEX($L:$L,223))=1,1,"")))</f>
        <v/>
      </c>
      <c r="AO223" s="95" t="str">
        <f aca="false">IF(AN223&lt;&gt;1,"",IF(INDEX($L:$L,223)="",IF(INDEX($S:$S,223)="Yes",1,""),IF(COUNTIFS($L$7:$L$506,INDEX($L:$L,223),$S$7:$S$506,"Yes")&gt;0,1,"")))</f>
        <v/>
      </c>
      <c r="AP223" s="95" t="str">
        <f aca="false">IF(AN223&lt;&gt;1,"",IF(INDEX($L:$L,223)&lt;&gt;"",INDEX($L:$L,223),TRIM(INDEX($D:$D,223)&amp;" "&amp;INDEX($C:$C,223))))</f>
        <v/>
      </c>
      <c r="AQ223" s="43" t="str">
        <f aca="false">IF(OR(AI223="",INDEX($I:$I,223)="Yes"),"",1)</f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customFormat="false" ht="21.75" hidden="false" customHeight="true" outlineLevel="0" collapsed="false">
      <c r="A224" s="1"/>
      <c r="B224" s="113" t="str">
        <f aca="false">IF(AI224="","",COUNT($AI$7:AI224))</f>
        <v/>
      </c>
      <c r="C224" s="114"/>
      <c r="D224" s="114"/>
      <c r="E224" s="114"/>
      <c r="F224" s="114"/>
      <c r="G224" s="115"/>
      <c r="H224" s="115"/>
      <c r="I224" s="115"/>
      <c r="J224" s="115"/>
      <c r="K224" s="115"/>
      <c r="L224" s="114"/>
      <c r="M224" s="114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4"/>
      <c r="Y224" s="114"/>
      <c r="Z224" s="115"/>
      <c r="AA224" s="114"/>
      <c r="AB224" s="114"/>
      <c r="AC224" s="115"/>
      <c r="AD224" s="116"/>
      <c r="AE224" s="114"/>
      <c r="AF224" s="114"/>
      <c r="AG224" s="114"/>
      <c r="AH224" s="1"/>
      <c r="AI224" s="95" t="str">
        <f aca="false">IF(INDEX($C:$C,224)&amp;INDEX($D:$D,224)="","",1)</f>
        <v/>
      </c>
      <c r="AJ224" s="95" t="str">
        <f aca="false">IF(OR(AI224="",INDEX($Z:$Z,224)="",INDEX($U:$U,224)="Declined"),"",1)</f>
        <v/>
      </c>
      <c r="AK224" s="95" t="str">
        <f aca="false">IF(AJ224="","",INDEX($Z:$Z,224)&amp;"-"&amp;COUNTIFS($Z$7:Z224,INDEX($Z:$Z,224),$AJ$7:AJ224,1))</f>
        <v/>
      </c>
      <c r="AL224" s="43" t="str">
        <f aca="false">IF(AI224="","",TRIM(INDEX($D:$D,224)&amp;" "&amp;INDEX($C:$C,224))&amp;IF(INDEX($I:$I,224)="Yes"," (child)",""))</f>
        <v/>
      </c>
      <c r="AM224" s="95" t="str">
        <f aca="false">IF(OR(AI224="",INDEX($X:$X,224)="",INDEX($U:$U,224)="Declined"),"",COUNTIFS($X$7:X224,"?*",$U$7:U224,"&lt;&gt;Declined",$AI$7:AI224,1))</f>
        <v/>
      </c>
      <c r="AN224" s="95" t="str">
        <f aca="false">IF(AI224="","",IF(INDEX($L:$L,224)="",1,IF(COUNTIF($L$7:L224,INDEX($L:$L,224))=1,1,"")))</f>
        <v/>
      </c>
      <c r="AO224" s="95" t="str">
        <f aca="false">IF(AN224&lt;&gt;1,"",IF(INDEX($L:$L,224)="",IF(INDEX($S:$S,224)="Yes",1,""),IF(COUNTIFS($L$7:$L$506,INDEX($L:$L,224),$S$7:$S$506,"Yes")&gt;0,1,"")))</f>
        <v/>
      </c>
      <c r="AP224" s="95" t="str">
        <f aca="false">IF(AN224&lt;&gt;1,"",IF(INDEX($L:$L,224)&lt;&gt;"",INDEX($L:$L,224),TRIM(INDEX($D:$D,224)&amp;" "&amp;INDEX($C:$C,224))))</f>
        <v/>
      </c>
      <c r="AQ224" s="43" t="str">
        <f aca="false">IF(OR(AI224="",INDEX($I:$I,224)="Yes"),"",1)</f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customFormat="false" ht="21.75" hidden="false" customHeight="true" outlineLevel="0" collapsed="false">
      <c r="A225" s="1"/>
      <c r="B225" s="113" t="str">
        <f aca="false">IF(AI225="","",COUNT($AI$7:AI225))</f>
        <v/>
      </c>
      <c r="C225" s="114"/>
      <c r="D225" s="114"/>
      <c r="E225" s="114"/>
      <c r="F225" s="114"/>
      <c r="G225" s="115"/>
      <c r="H225" s="115"/>
      <c r="I225" s="115"/>
      <c r="J225" s="115"/>
      <c r="K225" s="115"/>
      <c r="L225" s="114"/>
      <c r="M225" s="114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4"/>
      <c r="Y225" s="114"/>
      <c r="Z225" s="115"/>
      <c r="AA225" s="114"/>
      <c r="AB225" s="114"/>
      <c r="AC225" s="115"/>
      <c r="AD225" s="116"/>
      <c r="AE225" s="114"/>
      <c r="AF225" s="114"/>
      <c r="AG225" s="114"/>
      <c r="AH225" s="1"/>
      <c r="AI225" s="95" t="str">
        <f aca="false">IF(INDEX($C:$C,225)&amp;INDEX($D:$D,225)="","",1)</f>
        <v/>
      </c>
      <c r="AJ225" s="95" t="str">
        <f aca="false">IF(OR(AI225="",INDEX($Z:$Z,225)="",INDEX($U:$U,225)="Declined"),"",1)</f>
        <v/>
      </c>
      <c r="AK225" s="95" t="str">
        <f aca="false">IF(AJ225="","",INDEX($Z:$Z,225)&amp;"-"&amp;COUNTIFS($Z$7:Z225,INDEX($Z:$Z,225),$AJ$7:AJ225,1))</f>
        <v/>
      </c>
      <c r="AL225" s="43" t="str">
        <f aca="false">IF(AI225="","",TRIM(INDEX($D:$D,225)&amp;" "&amp;INDEX($C:$C,225))&amp;IF(INDEX($I:$I,225)="Yes"," (child)",""))</f>
        <v/>
      </c>
      <c r="AM225" s="95" t="str">
        <f aca="false">IF(OR(AI225="",INDEX($X:$X,225)="",INDEX($U:$U,225)="Declined"),"",COUNTIFS($X$7:X225,"?*",$U$7:U225,"&lt;&gt;Declined",$AI$7:AI225,1))</f>
        <v/>
      </c>
      <c r="AN225" s="95" t="str">
        <f aca="false">IF(AI225="","",IF(INDEX($L:$L,225)="",1,IF(COUNTIF($L$7:L225,INDEX($L:$L,225))=1,1,"")))</f>
        <v/>
      </c>
      <c r="AO225" s="95" t="str">
        <f aca="false">IF(AN225&lt;&gt;1,"",IF(INDEX($L:$L,225)="",IF(INDEX($S:$S,225)="Yes",1,""),IF(COUNTIFS($L$7:$L$506,INDEX($L:$L,225),$S$7:$S$506,"Yes")&gt;0,1,"")))</f>
        <v/>
      </c>
      <c r="AP225" s="95" t="str">
        <f aca="false">IF(AN225&lt;&gt;1,"",IF(INDEX($L:$L,225)&lt;&gt;"",INDEX($L:$L,225),TRIM(INDEX($D:$D,225)&amp;" "&amp;INDEX($C:$C,225))))</f>
        <v/>
      </c>
      <c r="AQ225" s="43" t="str">
        <f aca="false">IF(OR(AI225="",INDEX($I:$I,225)="Yes"),"",1)</f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customFormat="false" ht="21.75" hidden="false" customHeight="true" outlineLevel="0" collapsed="false">
      <c r="A226" s="1"/>
      <c r="B226" s="113" t="str">
        <f aca="false">IF(AI226="","",COUNT($AI$7:AI226))</f>
        <v/>
      </c>
      <c r="C226" s="114"/>
      <c r="D226" s="114"/>
      <c r="E226" s="114"/>
      <c r="F226" s="114"/>
      <c r="G226" s="115"/>
      <c r="H226" s="115"/>
      <c r="I226" s="115"/>
      <c r="J226" s="115"/>
      <c r="K226" s="115"/>
      <c r="L226" s="114"/>
      <c r="M226" s="114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4"/>
      <c r="Y226" s="114"/>
      <c r="Z226" s="115"/>
      <c r="AA226" s="114"/>
      <c r="AB226" s="114"/>
      <c r="AC226" s="115"/>
      <c r="AD226" s="116"/>
      <c r="AE226" s="114"/>
      <c r="AF226" s="114"/>
      <c r="AG226" s="114"/>
      <c r="AH226" s="1"/>
      <c r="AI226" s="95" t="str">
        <f aca="false">IF(INDEX($C:$C,226)&amp;INDEX($D:$D,226)="","",1)</f>
        <v/>
      </c>
      <c r="AJ226" s="95" t="str">
        <f aca="false">IF(OR(AI226="",INDEX($Z:$Z,226)="",INDEX($U:$U,226)="Declined"),"",1)</f>
        <v/>
      </c>
      <c r="AK226" s="95" t="str">
        <f aca="false">IF(AJ226="","",INDEX($Z:$Z,226)&amp;"-"&amp;COUNTIFS($Z$7:Z226,INDEX($Z:$Z,226),$AJ$7:AJ226,1))</f>
        <v/>
      </c>
      <c r="AL226" s="43" t="str">
        <f aca="false">IF(AI226="","",TRIM(INDEX($D:$D,226)&amp;" "&amp;INDEX($C:$C,226))&amp;IF(INDEX($I:$I,226)="Yes"," (child)",""))</f>
        <v/>
      </c>
      <c r="AM226" s="95" t="str">
        <f aca="false">IF(OR(AI226="",INDEX($X:$X,226)="",INDEX($U:$U,226)="Declined"),"",COUNTIFS($X$7:X226,"?*",$U$7:U226,"&lt;&gt;Declined",$AI$7:AI226,1))</f>
        <v/>
      </c>
      <c r="AN226" s="95" t="str">
        <f aca="false">IF(AI226="","",IF(INDEX($L:$L,226)="",1,IF(COUNTIF($L$7:L226,INDEX($L:$L,226))=1,1,"")))</f>
        <v/>
      </c>
      <c r="AO226" s="95" t="str">
        <f aca="false">IF(AN226&lt;&gt;1,"",IF(INDEX($L:$L,226)="",IF(INDEX($S:$S,226)="Yes",1,""),IF(COUNTIFS($L$7:$L$506,INDEX($L:$L,226),$S$7:$S$506,"Yes")&gt;0,1,"")))</f>
        <v/>
      </c>
      <c r="AP226" s="95" t="str">
        <f aca="false">IF(AN226&lt;&gt;1,"",IF(INDEX($L:$L,226)&lt;&gt;"",INDEX($L:$L,226),TRIM(INDEX($D:$D,226)&amp;" "&amp;INDEX($C:$C,226))))</f>
        <v/>
      </c>
      <c r="AQ226" s="43" t="str">
        <f aca="false">IF(OR(AI226="",INDEX($I:$I,226)="Yes"),"",1)</f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customFormat="false" ht="21.75" hidden="false" customHeight="true" outlineLevel="0" collapsed="false">
      <c r="A227" s="1"/>
      <c r="B227" s="113" t="str">
        <f aca="false">IF(AI227="","",COUNT($AI$7:AI227))</f>
        <v/>
      </c>
      <c r="C227" s="114"/>
      <c r="D227" s="114"/>
      <c r="E227" s="114"/>
      <c r="F227" s="114"/>
      <c r="G227" s="115"/>
      <c r="H227" s="115"/>
      <c r="I227" s="115"/>
      <c r="J227" s="115"/>
      <c r="K227" s="115"/>
      <c r="L227" s="114"/>
      <c r="M227" s="114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4"/>
      <c r="Y227" s="114"/>
      <c r="Z227" s="115"/>
      <c r="AA227" s="114"/>
      <c r="AB227" s="114"/>
      <c r="AC227" s="115"/>
      <c r="AD227" s="116"/>
      <c r="AE227" s="114"/>
      <c r="AF227" s="114"/>
      <c r="AG227" s="114"/>
      <c r="AH227" s="1"/>
      <c r="AI227" s="95" t="str">
        <f aca="false">IF(INDEX($C:$C,227)&amp;INDEX($D:$D,227)="","",1)</f>
        <v/>
      </c>
      <c r="AJ227" s="95" t="str">
        <f aca="false">IF(OR(AI227="",INDEX($Z:$Z,227)="",INDEX($U:$U,227)="Declined"),"",1)</f>
        <v/>
      </c>
      <c r="AK227" s="95" t="str">
        <f aca="false">IF(AJ227="","",INDEX($Z:$Z,227)&amp;"-"&amp;COUNTIFS($Z$7:Z227,INDEX($Z:$Z,227),$AJ$7:AJ227,1))</f>
        <v/>
      </c>
      <c r="AL227" s="43" t="str">
        <f aca="false">IF(AI227="","",TRIM(INDEX($D:$D,227)&amp;" "&amp;INDEX($C:$C,227))&amp;IF(INDEX($I:$I,227)="Yes"," (child)",""))</f>
        <v/>
      </c>
      <c r="AM227" s="95" t="str">
        <f aca="false">IF(OR(AI227="",INDEX($X:$X,227)="",INDEX($U:$U,227)="Declined"),"",COUNTIFS($X$7:X227,"?*",$U$7:U227,"&lt;&gt;Declined",$AI$7:AI227,1))</f>
        <v/>
      </c>
      <c r="AN227" s="95" t="str">
        <f aca="false">IF(AI227="","",IF(INDEX($L:$L,227)="",1,IF(COUNTIF($L$7:L227,INDEX($L:$L,227))=1,1,"")))</f>
        <v/>
      </c>
      <c r="AO227" s="95" t="str">
        <f aca="false">IF(AN227&lt;&gt;1,"",IF(INDEX($L:$L,227)="",IF(INDEX($S:$S,227)="Yes",1,""),IF(COUNTIFS($L$7:$L$506,INDEX($L:$L,227),$S$7:$S$506,"Yes")&gt;0,1,"")))</f>
        <v/>
      </c>
      <c r="AP227" s="95" t="str">
        <f aca="false">IF(AN227&lt;&gt;1,"",IF(INDEX($L:$L,227)&lt;&gt;"",INDEX($L:$L,227),TRIM(INDEX($D:$D,227)&amp;" "&amp;INDEX($C:$C,227))))</f>
        <v/>
      </c>
      <c r="AQ227" s="43" t="str">
        <f aca="false">IF(OR(AI227="",INDEX($I:$I,227)="Yes"),"",1)</f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customFormat="false" ht="21.75" hidden="false" customHeight="true" outlineLevel="0" collapsed="false">
      <c r="A228" s="1"/>
      <c r="B228" s="113" t="str">
        <f aca="false">IF(AI228="","",COUNT($AI$7:AI228))</f>
        <v/>
      </c>
      <c r="C228" s="114"/>
      <c r="D228" s="114"/>
      <c r="E228" s="114"/>
      <c r="F228" s="114"/>
      <c r="G228" s="115"/>
      <c r="H228" s="115"/>
      <c r="I228" s="115"/>
      <c r="J228" s="115"/>
      <c r="K228" s="115"/>
      <c r="L228" s="114"/>
      <c r="M228" s="114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4"/>
      <c r="Y228" s="114"/>
      <c r="Z228" s="115"/>
      <c r="AA228" s="114"/>
      <c r="AB228" s="114"/>
      <c r="AC228" s="115"/>
      <c r="AD228" s="116"/>
      <c r="AE228" s="114"/>
      <c r="AF228" s="114"/>
      <c r="AG228" s="114"/>
      <c r="AH228" s="1"/>
      <c r="AI228" s="95" t="str">
        <f aca="false">IF(INDEX($C:$C,228)&amp;INDEX($D:$D,228)="","",1)</f>
        <v/>
      </c>
      <c r="AJ228" s="95" t="str">
        <f aca="false">IF(OR(AI228="",INDEX($Z:$Z,228)="",INDEX($U:$U,228)="Declined"),"",1)</f>
        <v/>
      </c>
      <c r="AK228" s="95" t="str">
        <f aca="false">IF(AJ228="","",INDEX($Z:$Z,228)&amp;"-"&amp;COUNTIFS($Z$7:Z228,INDEX($Z:$Z,228),$AJ$7:AJ228,1))</f>
        <v/>
      </c>
      <c r="AL228" s="43" t="str">
        <f aca="false">IF(AI228="","",TRIM(INDEX($D:$D,228)&amp;" "&amp;INDEX($C:$C,228))&amp;IF(INDEX($I:$I,228)="Yes"," (child)",""))</f>
        <v/>
      </c>
      <c r="AM228" s="95" t="str">
        <f aca="false">IF(OR(AI228="",INDEX($X:$X,228)="",INDEX($U:$U,228)="Declined"),"",COUNTIFS($X$7:X228,"?*",$U$7:U228,"&lt;&gt;Declined",$AI$7:AI228,1))</f>
        <v/>
      </c>
      <c r="AN228" s="95" t="str">
        <f aca="false">IF(AI228="","",IF(INDEX($L:$L,228)="",1,IF(COUNTIF($L$7:L228,INDEX($L:$L,228))=1,1,"")))</f>
        <v/>
      </c>
      <c r="AO228" s="95" t="str">
        <f aca="false">IF(AN228&lt;&gt;1,"",IF(INDEX($L:$L,228)="",IF(INDEX($S:$S,228)="Yes",1,""),IF(COUNTIFS($L$7:$L$506,INDEX($L:$L,228),$S$7:$S$506,"Yes")&gt;0,1,"")))</f>
        <v/>
      </c>
      <c r="AP228" s="95" t="str">
        <f aca="false">IF(AN228&lt;&gt;1,"",IF(INDEX($L:$L,228)&lt;&gt;"",INDEX($L:$L,228),TRIM(INDEX($D:$D,228)&amp;" "&amp;INDEX($C:$C,228))))</f>
        <v/>
      </c>
      <c r="AQ228" s="43" t="str">
        <f aca="false">IF(OR(AI228="",INDEX($I:$I,228)="Yes"),"",1)</f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customFormat="false" ht="21.75" hidden="false" customHeight="true" outlineLevel="0" collapsed="false">
      <c r="A229" s="1"/>
      <c r="B229" s="113" t="str">
        <f aca="false">IF(AI229="","",COUNT($AI$7:AI229))</f>
        <v/>
      </c>
      <c r="C229" s="114"/>
      <c r="D229" s="114"/>
      <c r="E229" s="114"/>
      <c r="F229" s="114"/>
      <c r="G229" s="115"/>
      <c r="H229" s="115"/>
      <c r="I229" s="115"/>
      <c r="J229" s="115"/>
      <c r="K229" s="115"/>
      <c r="L229" s="114"/>
      <c r="M229" s="114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4"/>
      <c r="Y229" s="114"/>
      <c r="Z229" s="115"/>
      <c r="AA229" s="114"/>
      <c r="AB229" s="114"/>
      <c r="AC229" s="115"/>
      <c r="AD229" s="116"/>
      <c r="AE229" s="114"/>
      <c r="AF229" s="114"/>
      <c r="AG229" s="114"/>
      <c r="AH229" s="1"/>
      <c r="AI229" s="95" t="str">
        <f aca="false">IF(INDEX($C:$C,229)&amp;INDEX($D:$D,229)="","",1)</f>
        <v/>
      </c>
      <c r="AJ229" s="95" t="str">
        <f aca="false">IF(OR(AI229="",INDEX($Z:$Z,229)="",INDEX($U:$U,229)="Declined"),"",1)</f>
        <v/>
      </c>
      <c r="AK229" s="95" t="str">
        <f aca="false">IF(AJ229="","",INDEX($Z:$Z,229)&amp;"-"&amp;COUNTIFS($Z$7:Z229,INDEX($Z:$Z,229),$AJ$7:AJ229,1))</f>
        <v/>
      </c>
      <c r="AL229" s="43" t="str">
        <f aca="false">IF(AI229="","",TRIM(INDEX($D:$D,229)&amp;" "&amp;INDEX($C:$C,229))&amp;IF(INDEX($I:$I,229)="Yes"," (child)",""))</f>
        <v/>
      </c>
      <c r="AM229" s="95" t="str">
        <f aca="false">IF(OR(AI229="",INDEX($X:$X,229)="",INDEX($U:$U,229)="Declined"),"",COUNTIFS($X$7:X229,"?*",$U$7:U229,"&lt;&gt;Declined",$AI$7:AI229,1))</f>
        <v/>
      </c>
      <c r="AN229" s="95" t="str">
        <f aca="false">IF(AI229="","",IF(INDEX($L:$L,229)="",1,IF(COUNTIF($L$7:L229,INDEX($L:$L,229))=1,1,"")))</f>
        <v/>
      </c>
      <c r="AO229" s="95" t="str">
        <f aca="false">IF(AN229&lt;&gt;1,"",IF(INDEX($L:$L,229)="",IF(INDEX($S:$S,229)="Yes",1,""),IF(COUNTIFS($L$7:$L$506,INDEX($L:$L,229),$S$7:$S$506,"Yes")&gt;0,1,"")))</f>
        <v/>
      </c>
      <c r="AP229" s="95" t="str">
        <f aca="false">IF(AN229&lt;&gt;1,"",IF(INDEX($L:$L,229)&lt;&gt;"",INDEX($L:$L,229),TRIM(INDEX($D:$D,229)&amp;" "&amp;INDEX($C:$C,229))))</f>
        <v/>
      </c>
      <c r="AQ229" s="43" t="str">
        <f aca="false">IF(OR(AI229="",INDEX($I:$I,229)="Yes"),"",1)</f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customFormat="false" ht="21.75" hidden="false" customHeight="true" outlineLevel="0" collapsed="false">
      <c r="A230" s="1"/>
      <c r="B230" s="113" t="str">
        <f aca="false">IF(AI230="","",COUNT($AI$7:AI230))</f>
        <v/>
      </c>
      <c r="C230" s="114"/>
      <c r="D230" s="114"/>
      <c r="E230" s="114"/>
      <c r="F230" s="114"/>
      <c r="G230" s="115"/>
      <c r="H230" s="115"/>
      <c r="I230" s="115"/>
      <c r="J230" s="115"/>
      <c r="K230" s="115"/>
      <c r="L230" s="114"/>
      <c r="M230" s="114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4"/>
      <c r="Y230" s="114"/>
      <c r="Z230" s="115"/>
      <c r="AA230" s="114"/>
      <c r="AB230" s="114"/>
      <c r="AC230" s="115"/>
      <c r="AD230" s="116"/>
      <c r="AE230" s="114"/>
      <c r="AF230" s="114"/>
      <c r="AG230" s="114"/>
      <c r="AH230" s="1"/>
      <c r="AI230" s="95" t="str">
        <f aca="false">IF(INDEX($C:$C,230)&amp;INDEX($D:$D,230)="","",1)</f>
        <v/>
      </c>
      <c r="AJ230" s="95" t="str">
        <f aca="false">IF(OR(AI230="",INDEX($Z:$Z,230)="",INDEX($U:$U,230)="Declined"),"",1)</f>
        <v/>
      </c>
      <c r="AK230" s="95" t="str">
        <f aca="false">IF(AJ230="","",INDEX($Z:$Z,230)&amp;"-"&amp;COUNTIFS($Z$7:Z230,INDEX($Z:$Z,230),$AJ$7:AJ230,1))</f>
        <v/>
      </c>
      <c r="AL230" s="43" t="str">
        <f aca="false">IF(AI230="","",TRIM(INDEX($D:$D,230)&amp;" "&amp;INDEX($C:$C,230))&amp;IF(INDEX($I:$I,230)="Yes"," (child)",""))</f>
        <v/>
      </c>
      <c r="AM230" s="95" t="str">
        <f aca="false">IF(OR(AI230="",INDEX($X:$X,230)="",INDEX($U:$U,230)="Declined"),"",COUNTIFS($X$7:X230,"?*",$U$7:U230,"&lt;&gt;Declined",$AI$7:AI230,1))</f>
        <v/>
      </c>
      <c r="AN230" s="95" t="str">
        <f aca="false">IF(AI230="","",IF(INDEX($L:$L,230)="",1,IF(COUNTIF($L$7:L230,INDEX($L:$L,230))=1,1,"")))</f>
        <v/>
      </c>
      <c r="AO230" s="95" t="str">
        <f aca="false">IF(AN230&lt;&gt;1,"",IF(INDEX($L:$L,230)="",IF(INDEX($S:$S,230)="Yes",1,""),IF(COUNTIFS($L$7:$L$506,INDEX($L:$L,230),$S$7:$S$506,"Yes")&gt;0,1,"")))</f>
        <v/>
      </c>
      <c r="AP230" s="95" t="str">
        <f aca="false">IF(AN230&lt;&gt;1,"",IF(INDEX($L:$L,230)&lt;&gt;"",INDEX($L:$L,230),TRIM(INDEX($D:$D,230)&amp;" "&amp;INDEX($C:$C,230))))</f>
        <v/>
      </c>
      <c r="AQ230" s="43" t="str">
        <f aca="false">IF(OR(AI230="",INDEX($I:$I,230)="Yes"),"",1)</f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customFormat="false" ht="21.75" hidden="false" customHeight="true" outlineLevel="0" collapsed="false">
      <c r="A231" s="1"/>
      <c r="B231" s="113" t="str">
        <f aca="false">IF(AI231="","",COUNT($AI$7:AI231))</f>
        <v/>
      </c>
      <c r="C231" s="114"/>
      <c r="D231" s="114"/>
      <c r="E231" s="114"/>
      <c r="F231" s="114"/>
      <c r="G231" s="115"/>
      <c r="H231" s="115"/>
      <c r="I231" s="115"/>
      <c r="J231" s="115"/>
      <c r="K231" s="115"/>
      <c r="L231" s="114"/>
      <c r="M231" s="114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4"/>
      <c r="Y231" s="114"/>
      <c r="Z231" s="115"/>
      <c r="AA231" s="114"/>
      <c r="AB231" s="114"/>
      <c r="AC231" s="115"/>
      <c r="AD231" s="116"/>
      <c r="AE231" s="114"/>
      <c r="AF231" s="114"/>
      <c r="AG231" s="114"/>
      <c r="AH231" s="1"/>
      <c r="AI231" s="95" t="str">
        <f aca="false">IF(INDEX($C:$C,231)&amp;INDEX($D:$D,231)="","",1)</f>
        <v/>
      </c>
      <c r="AJ231" s="95" t="str">
        <f aca="false">IF(OR(AI231="",INDEX($Z:$Z,231)="",INDEX($U:$U,231)="Declined"),"",1)</f>
        <v/>
      </c>
      <c r="AK231" s="95" t="str">
        <f aca="false">IF(AJ231="","",INDEX($Z:$Z,231)&amp;"-"&amp;COUNTIFS($Z$7:Z231,INDEX($Z:$Z,231),$AJ$7:AJ231,1))</f>
        <v/>
      </c>
      <c r="AL231" s="43" t="str">
        <f aca="false">IF(AI231="","",TRIM(INDEX($D:$D,231)&amp;" "&amp;INDEX($C:$C,231))&amp;IF(INDEX($I:$I,231)="Yes"," (child)",""))</f>
        <v/>
      </c>
      <c r="AM231" s="95" t="str">
        <f aca="false">IF(OR(AI231="",INDEX($X:$X,231)="",INDEX($U:$U,231)="Declined"),"",COUNTIFS($X$7:X231,"?*",$U$7:U231,"&lt;&gt;Declined",$AI$7:AI231,1))</f>
        <v/>
      </c>
      <c r="AN231" s="95" t="str">
        <f aca="false">IF(AI231="","",IF(INDEX($L:$L,231)="",1,IF(COUNTIF($L$7:L231,INDEX($L:$L,231))=1,1,"")))</f>
        <v/>
      </c>
      <c r="AO231" s="95" t="str">
        <f aca="false">IF(AN231&lt;&gt;1,"",IF(INDEX($L:$L,231)="",IF(INDEX($S:$S,231)="Yes",1,""),IF(COUNTIFS($L$7:$L$506,INDEX($L:$L,231),$S$7:$S$506,"Yes")&gt;0,1,"")))</f>
        <v/>
      </c>
      <c r="AP231" s="95" t="str">
        <f aca="false">IF(AN231&lt;&gt;1,"",IF(INDEX($L:$L,231)&lt;&gt;"",INDEX($L:$L,231),TRIM(INDEX($D:$D,231)&amp;" "&amp;INDEX($C:$C,231))))</f>
        <v/>
      </c>
      <c r="AQ231" s="43" t="str">
        <f aca="false">IF(OR(AI231="",INDEX($I:$I,231)="Yes"),"",1)</f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customFormat="false" ht="21.75" hidden="false" customHeight="true" outlineLevel="0" collapsed="false">
      <c r="A232" s="1"/>
      <c r="B232" s="113" t="str">
        <f aca="false">IF(AI232="","",COUNT($AI$7:AI232))</f>
        <v/>
      </c>
      <c r="C232" s="114"/>
      <c r="D232" s="114"/>
      <c r="E232" s="114"/>
      <c r="F232" s="114"/>
      <c r="G232" s="115"/>
      <c r="H232" s="115"/>
      <c r="I232" s="115"/>
      <c r="J232" s="115"/>
      <c r="K232" s="115"/>
      <c r="L232" s="114"/>
      <c r="M232" s="114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4"/>
      <c r="Y232" s="114"/>
      <c r="Z232" s="115"/>
      <c r="AA232" s="114"/>
      <c r="AB232" s="114"/>
      <c r="AC232" s="115"/>
      <c r="AD232" s="116"/>
      <c r="AE232" s="114"/>
      <c r="AF232" s="114"/>
      <c r="AG232" s="114"/>
      <c r="AH232" s="1"/>
      <c r="AI232" s="95" t="str">
        <f aca="false">IF(INDEX($C:$C,232)&amp;INDEX($D:$D,232)="","",1)</f>
        <v/>
      </c>
      <c r="AJ232" s="95" t="str">
        <f aca="false">IF(OR(AI232="",INDEX($Z:$Z,232)="",INDEX($U:$U,232)="Declined"),"",1)</f>
        <v/>
      </c>
      <c r="AK232" s="95" t="str">
        <f aca="false">IF(AJ232="","",INDEX($Z:$Z,232)&amp;"-"&amp;COUNTIFS($Z$7:Z232,INDEX($Z:$Z,232),$AJ$7:AJ232,1))</f>
        <v/>
      </c>
      <c r="AL232" s="43" t="str">
        <f aca="false">IF(AI232="","",TRIM(INDEX($D:$D,232)&amp;" "&amp;INDEX($C:$C,232))&amp;IF(INDEX($I:$I,232)="Yes"," (child)",""))</f>
        <v/>
      </c>
      <c r="AM232" s="95" t="str">
        <f aca="false">IF(OR(AI232="",INDEX($X:$X,232)="",INDEX($U:$U,232)="Declined"),"",COUNTIFS($X$7:X232,"?*",$U$7:U232,"&lt;&gt;Declined",$AI$7:AI232,1))</f>
        <v/>
      </c>
      <c r="AN232" s="95" t="str">
        <f aca="false">IF(AI232="","",IF(INDEX($L:$L,232)="",1,IF(COUNTIF($L$7:L232,INDEX($L:$L,232))=1,1,"")))</f>
        <v/>
      </c>
      <c r="AO232" s="95" t="str">
        <f aca="false">IF(AN232&lt;&gt;1,"",IF(INDEX($L:$L,232)="",IF(INDEX($S:$S,232)="Yes",1,""),IF(COUNTIFS($L$7:$L$506,INDEX($L:$L,232),$S$7:$S$506,"Yes")&gt;0,1,"")))</f>
        <v/>
      </c>
      <c r="AP232" s="95" t="str">
        <f aca="false">IF(AN232&lt;&gt;1,"",IF(INDEX($L:$L,232)&lt;&gt;"",INDEX($L:$L,232),TRIM(INDEX($D:$D,232)&amp;" "&amp;INDEX($C:$C,232))))</f>
        <v/>
      </c>
      <c r="AQ232" s="43" t="str">
        <f aca="false">IF(OR(AI232="",INDEX($I:$I,232)="Yes"),"",1)</f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customFormat="false" ht="21.75" hidden="false" customHeight="true" outlineLevel="0" collapsed="false">
      <c r="A233" s="1"/>
      <c r="B233" s="113" t="str">
        <f aca="false">IF(AI233="","",COUNT($AI$7:AI233))</f>
        <v/>
      </c>
      <c r="C233" s="114"/>
      <c r="D233" s="114"/>
      <c r="E233" s="114"/>
      <c r="F233" s="114"/>
      <c r="G233" s="115"/>
      <c r="H233" s="115"/>
      <c r="I233" s="115"/>
      <c r="J233" s="115"/>
      <c r="K233" s="115"/>
      <c r="L233" s="114"/>
      <c r="M233" s="114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4"/>
      <c r="Y233" s="114"/>
      <c r="Z233" s="115"/>
      <c r="AA233" s="114"/>
      <c r="AB233" s="114"/>
      <c r="AC233" s="115"/>
      <c r="AD233" s="116"/>
      <c r="AE233" s="114"/>
      <c r="AF233" s="114"/>
      <c r="AG233" s="114"/>
      <c r="AH233" s="1"/>
      <c r="AI233" s="95" t="str">
        <f aca="false">IF(INDEX($C:$C,233)&amp;INDEX($D:$D,233)="","",1)</f>
        <v/>
      </c>
      <c r="AJ233" s="95" t="str">
        <f aca="false">IF(OR(AI233="",INDEX($Z:$Z,233)="",INDEX($U:$U,233)="Declined"),"",1)</f>
        <v/>
      </c>
      <c r="AK233" s="95" t="str">
        <f aca="false">IF(AJ233="","",INDEX($Z:$Z,233)&amp;"-"&amp;COUNTIFS($Z$7:Z233,INDEX($Z:$Z,233),$AJ$7:AJ233,1))</f>
        <v/>
      </c>
      <c r="AL233" s="43" t="str">
        <f aca="false">IF(AI233="","",TRIM(INDEX($D:$D,233)&amp;" "&amp;INDEX($C:$C,233))&amp;IF(INDEX($I:$I,233)="Yes"," (child)",""))</f>
        <v/>
      </c>
      <c r="AM233" s="95" t="str">
        <f aca="false">IF(OR(AI233="",INDEX($X:$X,233)="",INDEX($U:$U,233)="Declined"),"",COUNTIFS($X$7:X233,"?*",$U$7:U233,"&lt;&gt;Declined",$AI$7:AI233,1))</f>
        <v/>
      </c>
      <c r="AN233" s="95" t="str">
        <f aca="false">IF(AI233="","",IF(INDEX($L:$L,233)="",1,IF(COUNTIF($L$7:L233,INDEX($L:$L,233))=1,1,"")))</f>
        <v/>
      </c>
      <c r="AO233" s="95" t="str">
        <f aca="false">IF(AN233&lt;&gt;1,"",IF(INDEX($L:$L,233)="",IF(INDEX($S:$S,233)="Yes",1,""),IF(COUNTIFS($L$7:$L$506,INDEX($L:$L,233),$S$7:$S$506,"Yes")&gt;0,1,"")))</f>
        <v/>
      </c>
      <c r="AP233" s="95" t="str">
        <f aca="false">IF(AN233&lt;&gt;1,"",IF(INDEX($L:$L,233)&lt;&gt;"",INDEX($L:$L,233),TRIM(INDEX($D:$D,233)&amp;" "&amp;INDEX($C:$C,233))))</f>
        <v/>
      </c>
      <c r="AQ233" s="43" t="str">
        <f aca="false">IF(OR(AI233="",INDEX($I:$I,233)="Yes"),"",1)</f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customFormat="false" ht="21.75" hidden="false" customHeight="true" outlineLevel="0" collapsed="false">
      <c r="A234" s="1"/>
      <c r="B234" s="113" t="str">
        <f aca="false">IF(AI234="","",COUNT($AI$7:AI234))</f>
        <v/>
      </c>
      <c r="C234" s="114"/>
      <c r="D234" s="114"/>
      <c r="E234" s="114"/>
      <c r="F234" s="114"/>
      <c r="G234" s="115"/>
      <c r="H234" s="115"/>
      <c r="I234" s="115"/>
      <c r="J234" s="115"/>
      <c r="K234" s="115"/>
      <c r="L234" s="114"/>
      <c r="M234" s="114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4"/>
      <c r="Y234" s="114"/>
      <c r="Z234" s="115"/>
      <c r="AA234" s="114"/>
      <c r="AB234" s="114"/>
      <c r="AC234" s="115"/>
      <c r="AD234" s="116"/>
      <c r="AE234" s="114"/>
      <c r="AF234" s="114"/>
      <c r="AG234" s="114"/>
      <c r="AH234" s="1"/>
      <c r="AI234" s="95" t="str">
        <f aca="false">IF(INDEX($C:$C,234)&amp;INDEX($D:$D,234)="","",1)</f>
        <v/>
      </c>
      <c r="AJ234" s="95" t="str">
        <f aca="false">IF(OR(AI234="",INDEX($Z:$Z,234)="",INDEX($U:$U,234)="Declined"),"",1)</f>
        <v/>
      </c>
      <c r="AK234" s="95" t="str">
        <f aca="false">IF(AJ234="","",INDEX($Z:$Z,234)&amp;"-"&amp;COUNTIFS($Z$7:Z234,INDEX($Z:$Z,234),$AJ$7:AJ234,1))</f>
        <v/>
      </c>
      <c r="AL234" s="43" t="str">
        <f aca="false">IF(AI234="","",TRIM(INDEX($D:$D,234)&amp;" "&amp;INDEX($C:$C,234))&amp;IF(INDEX($I:$I,234)="Yes"," (child)",""))</f>
        <v/>
      </c>
      <c r="AM234" s="95" t="str">
        <f aca="false">IF(OR(AI234="",INDEX($X:$X,234)="",INDEX($U:$U,234)="Declined"),"",COUNTIFS($X$7:X234,"?*",$U$7:U234,"&lt;&gt;Declined",$AI$7:AI234,1))</f>
        <v/>
      </c>
      <c r="AN234" s="95" t="str">
        <f aca="false">IF(AI234="","",IF(INDEX($L:$L,234)="",1,IF(COUNTIF($L$7:L234,INDEX($L:$L,234))=1,1,"")))</f>
        <v/>
      </c>
      <c r="AO234" s="95" t="str">
        <f aca="false">IF(AN234&lt;&gt;1,"",IF(INDEX($L:$L,234)="",IF(INDEX($S:$S,234)="Yes",1,""),IF(COUNTIFS($L$7:$L$506,INDEX($L:$L,234),$S$7:$S$506,"Yes")&gt;0,1,"")))</f>
        <v/>
      </c>
      <c r="AP234" s="95" t="str">
        <f aca="false">IF(AN234&lt;&gt;1,"",IF(INDEX($L:$L,234)&lt;&gt;"",INDEX($L:$L,234),TRIM(INDEX($D:$D,234)&amp;" "&amp;INDEX($C:$C,234))))</f>
        <v/>
      </c>
      <c r="AQ234" s="43" t="str">
        <f aca="false">IF(OR(AI234="",INDEX($I:$I,234)="Yes"),"",1)</f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customFormat="false" ht="21.75" hidden="false" customHeight="true" outlineLevel="0" collapsed="false">
      <c r="A235" s="1"/>
      <c r="B235" s="113" t="str">
        <f aca="false">IF(AI235="","",COUNT($AI$7:AI235))</f>
        <v/>
      </c>
      <c r="C235" s="114"/>
      <c r="D235" s="114"/>
      <c r="E235" s="114"/>
      <c r="F235" s="114"/>
      <c r="G235" s="115"/>
      <c r="H235" s="115"/>
      <c r="I235" s="115"/>
      <c r="J235" s="115"/>
      <c r="K235" s="115"/>
      <c r="L235" s="114"/>
      <c r="M235" s="114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4"/>
      <c r="Y235" s="114"/>
      <c r="Z235" s="115"/>
      <c r="AA235" s="114"/>
      <c r="AB235" s="114"/>
      <c r="AC235" s="115"/>
      <c r="AD235" s="116"/>
      <c r="AE235" s="114"/>
      <c r="AF235" s="114"/>
      <c r="AG235" s="114"/>
      <c r="AH235" s="1"/>
      <c r="AI235" s="95" t="str">
        <f aca="false">IF(INDEX($C:$C,235)&amp;INDEX($D:$D,235)="","",1)</f>
        <v/>
      </c>
      <c r="AJ235" s="95" t="str">
        <f aca="false">IF(OR(AI235="",INDEX($Z:$Z,235)="",INDEX($U:$U,235)="Declined"),"",1)</f>
        <v/>
      </c>
      <c r="AK235" s="95" t="str">
        <f aca="false">IF(AJ235="","",INDEX($Z:$Z,235)&amp;"-"&amp;COUNTIFS($Z$7:Z235,INDEX($Z:$Z,235),$AJ$7:AJ235,1))</f>
        <v/>
      </c>
      <c r="AL235" s="43" t="str">
        <f aca="false">IF(AI235="","",TRIM(INDEX($D:$D,235)&amp;" "&amp;INDEX($C:$C,235))&amp;IF(INDEX($I:$I,235)="Yes"," (child)",""))</f>
        <v/>
      </c>
      <c r="AM235" s="95" t="str">
        <f aca="false">IF(OR(AI235="",INDEX($X:$X,235)="",INDEX($U:$U,235)="Declined"),"",COUNTIFS($X$7:X235,"?*",$U$7:U235,"&lt;&gt;Declined",$AI$7:AI235,1))</f>
        <v/>
      </c>
      <c r="AN235" s="95" t="str">
        <f aca="false">IF(AI235="","",IF(INDEX($L:$L,235)="",1,IF(COUNTIF($L$7:L235,INDEX($L:$L,235))=1,1,"")))</f>
        <v/>
      </c>
      <c r="AO235" s="95" t="str">
        <f aca="false">IF(AN235&lt;&gt;1,"",IF(INDEX($L:$L,235)="",IF(INDEX($S:$S,235)="Yes",1,""),IF(COUNTIFS($L$7:$L$506,INDEX($L:$L,235),$S$7:$S$506,"Yes")&gt;0,1,"")))</f>
        <v/>
      </c>
      <c r="AP235" s="95" t="str">
        <f aca="false">IF(AN235&lt;&gt;1,"",IF(INDEX($L:$L,235)&lt;&gt;"",INDEX($L:$L,235),TRIM(INDEX($D:$D,235)&amp;" "&amp;INDEX($C:$C,235))))</f>
        <v/>
      </c>
      <c r="AQ235" s="43" t="str">
        <f aca="false">IF(OR(AI235="",INDEX($I:$I,235)="Yes"),"",1)</f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customFormat="false" ht="21.75" hidden="false" customHeight="true" outlineLevel="0" collapsed="false">
      <c r="A236" s="1"/>
      <c r="B236" s="113" t="str">
        <f aca="false">IF(AI236="","",COUNT($AI$7:AI236))</f>
        <v/>
      </c>
      <c r="C236" s="114"/>
      <c r="D236" s="114"/>
      <c r="E236" s="114"/>
      <c r="F236" s="114"/>
      <c r="G236" s="115"/>
      <c r="H236" s="115"/>
      <c r="I236" s="115"/>
      <c r="J236" s="115"/>
      <c r="K236" s="115"/>
      <c r="L236" s="114"/>
      <c r="M236" s="114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4"/>
      <c r="Y236" s="114"/>
      <c r="Z236" s="115"/>
      <c r="AA236" s="114"/>
      <c r="AB236" s="114"/>
      <c r="AC236" s="115"/>
      <c r="AD236" s="116"/>
      <c r="AE236" s="114"/>
      <c r="AF236" s="114"/>
      <c r="AG236" s="114"/>
      <c r="AH236" s="1"/>
      <c r="AI236" s="95" t="str">
        <f aca="false">IF(INDEX($C:$C,236)&amp;INDEX($D:$D,236)="","",1)</f>
        <v/>
      </c>
      <c r="AJ236" s="95" t="str">
        <f aca="false">IF(OR(AI236="",INDEX($Z:$Z,236)="",INDEX($U:$U,236)="Declined"),"",1)</f>
        <v/>
      </c>
      <c r="AK236" s="95" t="str">
        <f aca="false">IF(AJ236="","",INDEX($Z:$Z,236)&amp;"-"&amp;COUNTIFS($Z$7:Z236,INDEX($Z:$Z,236),$AJ$7:AJ236,1))</f>
        <v/>
      </c>
      <c r="AL236" s="43" t="str">
        <f aca="false">IF(AI236="","",TRIM(INDEX($D:$D,236)&amp;" "&amp;INDEX($C:$C,236))&amp;IF(INDEX($I:$I,236)="Yes"," (child)",""))</f>
        <v/>
      </c>
      <c r="AM236" s="95" t="str">
        <f aca="false">IF(OR(AI236="",INDEX($X:$X,236)="",INDEX($U:$U,236)="Declined"),"",COUNTIFS($X$7:X236,"?*",$U$7:U236,"&lt;&gt;Declined",$AI$7:AI236,1))</f>
        <v/>
      </c>
      <c r="AN236" s="95" t="str">
        <f aca="false">IF(AI236="","",IF(INDEX($L:$L,236)="",1,IF(COUNTIF($L$7:L236,INDEX($L:$L,236))=1,1,"")))</f>
        <v/>
      </c>
      <c r="AO236" s="95" t="str">
        <f aca="false">IF(AN236&lt;&gt;1,"",IF(INDEX($L:$L,236)="",IF(INDEX($S:$S,236)="Yes",1,""),IF(COUNTIFS($L$7:$L$506,INDEX($L:$L,236),$S$7:$S$506,"Yes")&gt;0,1,"")))</f>
        <v/>
      </c>
      <c r="AP236" s="95" t="str">
        <f aca="false">IF(AN236&lt;&gt;1,"",IF(INDEX($L:$L,236)&lt;&gt;"",INDEX($L:$L,236),TRIM(INDEX($D:$D,236)&amp;" "&amp;INDEX($C:$C,236))))</f>
        <v/>
      </c>
      <c r="AQ236" s="43" t="str">
        <f aca="false">IF(OR(AI236="",INDEX($I:$I,236)="Yes"),"",1)</f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customFormat="false" ht="21.75" hidden="false" customHeight="true" outlineLevel="0" collapsed="false">
      <c r="A237" s="1"/>
      <c r="B237" s="113" t="str">
        <f aca="false">IF(AI237="","",COUNT($AI$7:AI237))</f>
        <v/>
      </c>
      <c r="C237" s="114"/>
      <c r="D237" s="114"/>
      <c r="E237" s="114"/>
      <c r="F237" s="114"/>
      <c r="G237" s="115"/>
      <c r="H237" s="115"/>
      <c r="I237" s="115"/>
      <c r="J237" s="115"/>
      <c r="K237" s="115"/>
      <c r="L237" s="114"/>
      <c r="M237" s="114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4"/>
      <c r="Y237" s="114"/>
      <c r="Z237" s="115"/>
      <c r="AA237" s="114"/>
      <c r="AB237" s="114"/>
      <c r="AC237" s="115"/>
      <c r="AD237" s="116"/>
      <c r="AE237" s="114"/>
      <c r="AF237" s="114"/>
      <c r="AG237" s="114"/>
      <c r="AH237" s="1"/>
      <c r="AI237" s="95" t="str">
        <f aca="false">IF(INDEX($C:$C,237)&amp;INDEX($D:$D,237)="","",1)</f>
        <v/>
      </c>
      <c r="AJ237" s="95" t="str">
        <f aca="false">IF(OR(AI237="",INDEX($Z:$Z,237)="",INDEX($U:$U,237)="Declined"),"",1)</f>
        <v/>
      </c>
      <c r="AK237" s="95" t="str">
        <f aca="false">IF(AJ237="","",INDEX($Z:$Z,237)&amp;"-"&amp;COUNTIFS($Z$7:Z237,INDEX($Z:$Z,237),$AJ$7:AJ237,1))</f>
        <v/>
      </c>
      <c r="AL237" s="43" t="str">
        <f aca="false">IF(AI237="","",TRIM(INDEX($D:$D,237)&amp;" "&amp;INDEX($C:$C,237))&amp;IF(INDEX($I:$I,237)="Yes"," (child)",""))</f>
        <v/>
      </c>
      <c r="AM237" s="95" t="str">
        <f aca="false">IF(OR(AI237="",INDEX($X:$X,237)="",INDEX($U:$U,237)="Declined"),"",COUNTIFS($X$7:X237,"?*",$U$7:U237,"&lt;&gt;Declined",$AI$7:AI237,1))</f>
        <v/>
      </c>
      <c r="AN237" s="95" t="str">
        <f aca="false">IF(AI237="","",IF(INDEX($L:$L,237)="",1,IF(COUNTIF($L$7:L237,INDEX($L:$L,237))=1,1,"")))</f>
        <v/>
      </c>
      <c r="AO237" s="95" t="str">
        <f aca="false">IF(AN237&lt;&gt;1,"",IF(INDEX($L:$L,237)="",IF(INDEX($S:$S,237)="Yes",1,""),IF(COUNTIFS($L$7:$L$506,INDEX($L:$L,237),$S$7:$S$506,"Yes")&gt;0,1,"")))</f>
        <v/>
      </c>
      <c r="AP237" s="95" t="str">
        <f aca="false">IF(AN237&lt;&gt;1,"",IF(INDEX($L:$L,237)&lt;&gt;"",INDEX($L:$L,237),TRIM(INDEX($D:$D,237)&amp;" "&amp;INDEX($C:$C,237))))</f>
        <v/>
      </c>
      <c r="AQ237" s="43" t="str">
        <f aca="false">IF(OR(AI237="",INDEX($I:$I,237)="Yes"),"",1)</f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customFormat="false" ht="21.75" hidden="false" customHeight="true" outlineLevel="0" collapsed="false">
      <c r="A238" s="1"/>
      <c r="B238" s="113" t="str">
        <f aca="false">IF(AI238="","",COUNT($AI$7:AI238))</f>
        <v/>
      </c>
      <c r="C238" s="114"/>
      <c r="D238" s="114"/>
      <c r="E238" s="114"/>
      <c r="F238" s="114"/>
      <c r="G238" s="115"/>
      <c r="H238" s="115"/>
      <c r="I238" s="115"/>
      <c r="J238" s="115"/>
      <c r="K238" s="115"/>
      <c r="L238" s="114"/>
      <c r="M238" s="114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4"/>
      <c r="Y238" s="114"/>
      <c r="Z238" s="115"/>
      <c r="AA238" s="114"/>
      <c r="AB238" s="114"/>
      <c r="AC238" s="115"/>
      <c r="AD238" s="116"/>
      <c r="AE238" s="114"/>
      <c r="AF238" s="114"/>
      <c r="AG238" s="114"/>
      <c r="AH238" s="1"/>
      <c r="AI238" s="95" t="str">
        <f aca="false">IF(INDEX($C:$C,238)&amp;INDEX($D:$D,238)="","",1)</f>
        <v/>
      </c>
      <c r="AJ238" s="95" t="str">
        <f aca="false">IF(OR(AI238="",INDEX($Z:$Z,238)="",INDEX($U:$U,238)="Declined"),"",1)</f>
        <v/>
      </c>
      <c r="AK238" s="95" t="str">
        <f aca="false">IF(AJ238="","",INDEX($Z:$Z,238)&amp;"-"&amp;COUNTIFS($Z$7:Z238,INDEX($Z:$Z,238),$AJ$7:AJ238,1))</f>
        <v/>
      </c>
      <c r="AL238" s="43" t="str">
        <f aca="false">IF(AI238="","",TRIM(INDEX($D:$D,238)&amp;" "&amp;INDEX($C:$C,238))&amp;IF(INDEX($I:$I,238)="Yes"," (child)",""))</f>
        <v/>
      </c>
      <c r="AM238" s="95" t="str">
        <f aca="false">IF(OR(AI238="",INDEX($X:$X,238)="",INDEX($U:$U,238)="Declined"),"",COUNTIFS($X$7:X238,"?*",$U$7:U238,"&lt;&gt;Declined",$AI$7:AI238,1))</f>
        <v/>
      </c>
      <c r="AN238" s="95" t="str">
        <f aca="false">IF(AI238="","",IF(INDEX($L:$L,238)="",1,IF(COUNTIF($L$7:L238,INDEX($L:$L,238))=1,1,"")))</f>
        <v/>
      </c>
      <c r="AO238" s="95" t="str">
        <f aca="false">IF(AN238&lt;&gt;1,"",IF(INDEX($L:$L,238)="",IF(INDEX($S:$S,238)="Yes",1,""),IF(COUNTIFS($L$7:$L$506,INDEX($L:$L,238),$S$7:$S$506,"Yes")&gt;0,1,"")))</f>
        <v/>
      </c>
      <c r="AP238" s="95" t="str">
        <f aca="false">IF(AN238&lt;&gt;1,"",IF(INDEX($L:$L,238)&lt;&gt;"",INDEX($L:$L,238),TRIM(INDEX($D:$D,238)&amp;" "&amp;INDEX($C:$C,238))))</f>
        <v/>
      </c>
      <c r="AQ238" s="43" t="str">
        <f aca="false">IF(OR(AI238="",INDEX($I:$I,238)="Yes"),"",1)</f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customFormat="false" ht="21.75" hidden="false" customHeight="true" outlineLevel="0" collapsed="false">
      <c r="A239" s="1"/>
      <c r="B239" s="113" t="str">
        <f aca="false">IF(AI239="","",COUNT($AI$7:AI239))</f>
        <v/>
      </c>
      <c r="C239" s="114"/>
      <c r="D239" s="114"/>
      <c r="E239" s="114"/>
      <c r="F239" s="114"/>
      <c r="G239" s="115"/>
      <c r="H239" s="115"/>
      <c r="I239" s="115"/>
      <c r="J239" s="115"/>
      <c r="K239" s="115"/>
      <c r="L239" s="114"/>
      <c r="M239" s="114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4"/>
      <c r="Y239" s="114"/>
      <c r="Z239" s="115"/>
      <c r="AA239" s="114"/>
      <c r="AB239" s="114"/>
      <c r="AC239" s="115"/>
      <c r="AD239" s="116"/>
      <c r="AE239" s="114"/>
      <c r="AF239" s="114"/>
      <c r="AG239" s="114"/>
      <c r="AH239" s="1"/>
      <c r="AI239" s="95" t="str">
        <f aca="false">IF(INDEX($C:$C,239)&amp;INDEX($D:$D,239)="","",1)</f>
        <v/>
      </c>
      <c r="AJ239" s="95" t="str">
        <f aca="false">IF(OR(AI239="",INDEX($Z:$Z,239)="",INDEX($U:$U,239)="Declined"),"",1)</f>
        <v/>
      </c>
      <c r="AK239" s="95" t="str">
        <f aca="false">IF(AJ239="","",INDEX($Z:$Z,239)&amp;"-"&amp;COUNTIFS($Z$7:Z239,INDEX($Z:$Z,239),$AJ$7:AJ239,1))</f>
        <v/>
      </c>
      <c r="AL239" s="43" t="str">
        <f aca="false">IF(AI239="","",TRIM(INDEX($D:$D,239)&amp;" "&amp;INDEX($C:$C,239))&amp;IF(INDEX($I:$I,239)="Yes"," (child)",""))</f>
        <v/>
      </c>
      <c r="AM239" s="95" t="str">
        <f aca="false">IF(OR(AI239="",INDEX($X:$X,239)="",INDEX($U:$U,239)="Declined"),"",COUNTIFS($X$7:X239,"?*",$U$7:U239,"&lt;&gt;Declined",$AI$7:AI239,1))</f>
        <v/>
      </c>
      <c r="AN239" s="95" t="str">
        <f aca="false">IF(AI239="","",IF(INDEX($L:$L,239)="",1,IF(COUNTIF($L$7:L239,INDEX($L:$L,239))=1,1,"")))</f>
        <v/>
      </c>
      <c r="AO239" s="95" t="str">
        <f aca="false">IF(AN239&lt;&gt;1,"",IF(INDEX($L:$L,239)="",IF(INDEX($S:$S,239)="Yes",1,""),IF(COUNTIFS($L$7:$L$506,INDEX($L:$L,239),$S$7:$S$506,"Yes")&gt;0,1,"")))</f>
        <v/>
      </c>
      <c r="AP239" s="95" t="str">
        <f aca="false">IF(AN239&lt;&gt;1,"",IF(INDEX($L:$L,239)&lt;&gt;"",INDEX($L:$L,239),TRIM(INDEX($D:$D,239)&amp;" "&amp;INDEX($C:$C,239))))</f>
        <v/>
      </c>
      <c r="AQ239" s="43" t="str">
        <f aca="false">IF(OR(AI239="",INDEX($I:$I,239)="Yes"),"",1)</f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customFormat="false" ht="21.75" hidden="false" customHeight="true" outlineLevel="0" collapsed="false">
      <c r="A240" s="1"/>
      <c r="B240" s="113" t="str">
        <f aca="false">IF(AI240="","",COUNT($AI$7:AI240))</f>
        <v/>
      </c>
      <c r="C240" s="114"/>
      <c r="D240" s="114"/>
      <c r="E240" s="114"/>
      <c r="F240" s="114"/>
      <c r="G240" s="115"/>
      <c r="H240" s="115"/>
      <c r="I240" s="115"/>
      <c r="J240" s="115"/>
      <c r="K240" s="115"/>
      <c r="L240" s="114"/>
      <c r="M240" s="114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4"/>
      <c r="Y240" s="114"/>
      <c r="Z240" s="115"/>
      <c r="AA240" s="114"/>
      <c r="AB240" s="114"/>
      <c r="AC240" s="115"/>
      <c r="AD240" s="116"/>
      <c r="AE240" s="114"/>
      <c r="AF240" s="114"/>
      <c r="AG240" s="114"/>
      <c r="AH240" s="1"/>
      <c r="AI240" s="95" t="str">
        <f aca="false">IF(INDEX($C:$C,240)&amp;INDEX($D:$D,240)="","",1)</f>
        <v/>
      </c>
      <c r="AJ240" s="95" t="str">
        <f aca="false">IF(OR(AI240="",INDEX($Z:$Z,240)="",INDEX($U:$U,240)="Declined"),"",1)</f>
        <v/>
      </c>
      <c r="AK240" s="95" t="str">
        <f aca="false">IF(AJ240="","",INDEX($Z:$Z,240)&amp;"-"&amp;COUNTIFS($Z$7:Z240,INDEX($Z:$Z,240),$AJ$7:AJ240,1))</f>
        <v/>
      </c>
      <c r="AL240" s="43" t="str">
        <f aca="false">IF(AI240="","",TRIM(INDEX($D:$D,240)&amp;" "&amp;INDEX($C:$C,240))&amp;IF(INDEX($I:$I,240)="Yes"," (child)",""))</f>
        <v/>
      </c>
      <c r="AM240" s="95" t="str">
        <f aca="false">IF(OR(AI240="",INDEX($X:$X,240)="",INDEX($U:$U,240)="Declined"),"",COUNTIFS($X$7:X240,"?*",$U$7:U240,"&lt;&gt;Declined",$AI$7:AI240,1))</f>
        <v/>
      </c>
      <c r="AN240" s="95" t="str">
        <f aca="false">IF(AI240="","",IF(INDEX($L:$L,240)="",1,IF(COUNTIF($L$7:L240,INDEX($L:$L,240))=1,1,"")))</f>
        <v/>
      </c>
      <c r="AO240" s="95" t="str">
        <f aca="false">IF(AN240&lt;&gt;1,"",IF(INDEX($L:$L,240)="",IF(INDEX($S:$S,240)="Yes",1,""),IF(COUNTIFS($L$7:$L$506,INDEX($L:$L,240),$S$7:$S$506,"Yes")&gt;0,1,"")))</f>
        <v/>
      </c>
      <c r="AP240" s="95" t="str">
        <f aca="false">IF(AN240&lt;&gt;1,"",IF(INDEX($L:$L,240)&lt;&gt;"",INDEX($L:$L,240),TRIM(INDEX($D:$D,240)&amp;" "&amp;INDEX($C:$C,240))))</f>
        <v/>
      </c>
      <c r="AQ240" s="43" t="str">
        <f aca="false">IF(OR(AI240="",INDEX($I:$I,240)="Yes"),"",1)</f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customFormat="false" ht="21.75" hidden="false" customHeight="true" outlineLevel="0" collapsed="false">
      <c r="A241" s="1"/>
      <c r="B241" s="113" t="str">
        <f aca="false">IF(AI241="","",COUNT($AI$7:AI241))</f>
        <v/>
      </c>
      <c r="C241" s="114"/>
      <c r="D241" s="114"/>
      <c r="E241" s="114"/>
      <c r="F241" s="114"/>
      <c r="G241" s="115"/>
      <c r="H241" s="115"/>
      <c r="I241" s="115"/>
      <c r="J241" s="115"/>
      <c r="K241" s="115"/>
      <c r="L241" s="114"/>
      <c r="M241" s="114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4"/>
      <c r="Y241" s="114"/>
      <c r="Z241" s="115"/>
      <c r="AA241" s="114"/>
      <c r="AB241" s="114"/>
      <c r="AC241" s="115"/>
      <c r="AD241" s="116"/>
      <c r="AE241" s="114"/>
      <c r="AF241" s="114"/>
      <c r="AG241" s="114"/>
      <c r="AH241" s="1"/>
      <c r="AI241" s="95" t="str">
        <f aca="false">IF(INDEX($C:$C,241)&amp;INDEX($D:$D,241)="","",1)</f>
        <v/>
      </c>
      <c r="AJ241" s="95" t="str">
        <f aca="false">IF(OR(AI241="",INDEX($Z:$Z,241)="",INDEX($U:$U,241)="Declined"),"",1)</f>
        <v/>
      </c>
      <c r="AK241" s="95" t="str">
        <f aca="false">IF(AJ241="","",INDEX($Z:$Z,241)&amp;"-"&amp;COUNTIFS($Z$7:Z241,INDEX($Z:$Z,241),$AJ$7:AJ241,1))</f>
        <v/>
      </c>
      <c r="AL241" s="43" t="str">
        <f aca="false">IF(AI241="","",TRIM(INDEX($D:$D,241)&amp;" "&amp;INDEX($C:$C,241))&amp;IF(INDEX($I:$I,241)="Yes"," (child)",""))</f>
        <v/>
      </c>
      <c r="AM241" s="95" t="str">
        <f aca="false">IF(OR(AI241="",INDEX($X:$X,241)="",INDEX($U:$U,241)="Declined"),"",COUNTIFS($X$7:X241,"?*",$U$7:U241,"&lt;&gt;Declined",$AI$7:AI241,1))</f>
        <v/>
      </c>
      <c r="AN241" s="95" t="str">
        <f aca="false">IF(AI241="","",IF(INDEX($L:$L,241)="",1,IF(COUNTIF($L$7:L241,INDEX($L:$L,241))=1,1,"")))</f>
        <v/>
      </c>
      <c r="AO241" s="95" t="str">
        <f aca="false">IF(AN241&lt;&gt;1,"",IF(INDEX($L:$L,241)="",IF(INDEX($S:$S,241)="Yes",1,""),IF(COUNTIFS($L$7:$L$506,INDEX($L:$L,241),$S$7:$S$506,"Yes")&gt;0,1,"")))</f>
        <v/>
      </c>
      <c r="AP241" s="95" t="str">
        <f aca="false">IF(AN241&lt;&gt;1,"",IF(INDEX($L:$L,241)&lt;&gt;"",INDEX($L:$L,241),TRIM(INDEX($D:$D,241)&amp;" "&amp;INDEX($C:$C,241))))</f>
        <v/>
      </c>
      <c r="AQ241" s="43" t="str">
        <f aca="false">IF(OR(AI241="",INDEX($I:$I,241)="Yes"),"",1)</f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customFormat="false" ht="21.75" hidden="false" customHeight="true" outlineLevel="0" collapsed="false">
      <c r="A242" s="1"/>
      <c r="B242" s="113" t="str">
        <f aca="false">IF(AI242="","",COUNT($AI$7:AI242))</f>
        <v/>
      </c>
      <c r="C242" s="114"/>
      <c r="D242" s="114"/>
      <c r="E242" s="114"/>
      <c r="F242" s="114"/>
      <c r="G242" s="115"/>
      <c r="H242" s="115"/>
      <c r="I242" s="115"/>
      <c r="J242" s="115"/>
      <c r="K242" s="115"/>
      <c r="L242" s="114"/>
      <c r="M242" s="114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4"/>
      <c r="Y242" s="114"/>
      <c r="Z242" s="115"/>
      <c r="AA242" s="114"/>
      <c r="AB242" s="114"/>
      <c r="AC242" s="115"/>
      <c r="AD242" s="116"/>
      <c r="AE242" s="114"/>
      <c r="AF242" s="114"/>
      <c r="AG242" s="114"/>
      <c r="AH242" s="1"/>
      <c r="AI242" s="95" t="str">
        <f aca="false">IF(INDEX($C:$C,242)&amp;INDEX($D:$D,242)="","",1)</f>
        <v/>
      </c>
      <c r="AJ242" s="95" t="str">
        <f aca="false">IF(OR(AI242="",INDEX($Z:$Z,242)="",INDEX($U:$U,242)="Declined"),"",1)</f>
        <v/>
      </c>
      <c r="AK242" s="95" t="str">
        <f aca="false">IF(AJ242="","",INDEX($Z:$Z,242)&amp;"-"&amp;COUNTIFS($Z$7:Z242,INDEX($Z:$Z,242),$AJ$7:AJ242,1))</f>
        <v/>
      </c>
      <c r="AL242" s="43" t="str">
        <f aca="false">IF(AI242="","",TRIM(INDEX($D:$D,242)&amp;" "&amp;INDEX($C:$C,242))&amp;IF(INDEX($I:$I,242)="Yes"," (child)",""))</f>
        <v/>
      </c>
      <c r="AM242" s="95" t="str">
        <f aca="false">IF(OR(AI242="",INDEX($X:$X,242)="",INDEX($U:$U,242)="Declined"),"",COUNTIFS($X$7:X242,"?*",$U$7:U242,"&lt;&gt;Declined",$AI$7:AI242,1))</f>
        <v/>
      </c>
      <c r="AN242" s="95" t="str">
        <f aca="false">IF(AI242="","",IF(INDEX($L:$L,242)="",1,IF(COUNTIF($L$7:L242,INDEX($L:$L,242))=1,1,"")))</f>
        <v/>
      </c>
      <c r="AO242" s="95" t="str">
        <f aca="false">IF(AN242&lt;&gt;1,"",IF(INDEX($L:$L,242)="",IF(INDEX($S:$S,242)="Yes",1,""),IF(COUNTIFS($L$7:$L$506,INDEX($L:$L,242),$S$7:$S$506,"Yes")&gt;0,1,"")))</f>
        <v/>
      </c>
      <c r="AP242" s="95" t="str">
        <f aca="false">IF(AN242&lt;&gt;1,"",IF(INDEX($L:$L,242)&lt;&gt;"",INDEX($L:$L,242),TRIM(INDEX($D:$D,242)&amp;" "&amp;INDEX($C:$C,242))))</f>
        <v/>
      </c>
      <c r="AQ242" s="43" t="str">
        <f aca="false">IF(OR(AI242="",INDEX($I:$I,242)="Yes"),"",1)</f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customFormat="false" ht="21.75" hidden="false" customHeight="true" outlineLevel="0" collapsed="false">
      <c r="A243" s="1"/>
      <c r="B243" s="113" t="str">
        <f aca="false">IF(AI243="","",COUNT($AI$7:AI243))</f>
        <v/>
      </c>
      <c r="C243" s="114"/>
      <c r="D243" s="114"/>
      <c r="E243" s="114"/>
      <c r="F243" s="114"/>
      <c r="G243" s="115"/>
      <c r="H243" s="115"/>
      <c r="I243" s="115"/>
      <c r="J243" s="115"/>
      <c r="K243" s="115"/>
      <c r="L243" s="114"/>
      <c r="M243" s="114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4"/>
      <c r="Y243" s="114"/>
      <c r="Z243" s="115"/>
      <c r="AA243" s="114"/>
      <c r="AB243" s="114"/>
      <c r="AC243" s="115"/>
      <c r="AD243" s="116"/>
      <c r="AE243" s="114"/>
      <c r="AF243" s="114"/>
      <c r="AG243" s="114"/>
      <c r="AH243" s="1"/>
      <c r="AI243" s="95" t="str">
        <f aca="false">IF(INDEX($C:$C,243)&amp;INDEX($D:$D,243)="","",1)</f>
        <v/>
      </c>
      <c r="AJ243" s="95" t="str">
        <f aca="false">IF(OR(AI243="",INDEX($Z:$Z,243)="",INDEX($U:$U,243)="Declined"),"",1)</f>
        <v/>
      </c>
      <c r="AK243" s="95" t="str">
        <f aca="false">IF(AJ243="","",INDEX($Z:$Z,243)&amp;"-"&amp;COUNTIFS($Z$7:Z243,INDEX($Z:$Z,243),$AJ$7:AJ243,1))</f>
        <v/>
      </c>
      <c r="AL243" s="43" t="str">
        <f aca="false">IF(AI243="","",TRIM(INDEX($D:$D,243)&amp;" "&amp;INDEX($C:$C,243))&amp;IF(INDEX($I:$I,243)="Yes"," (child)",""))</f>
        <v/>
      </c>
      <c r="AM243" s="95" t="str">
        <f aca="false">IF(OR(AI243="",INDEX($X:$X,243)="",INDEX($U:$U,243)="Declined"),"",COUNTIFS($X$7:X243,"?*",$U$7:U243,"&lt;&gt;Declined",$AI$7:AI243,1))</f>
        <v/>
      </c>
      <c r="AN243" s="95" t="str">
        <f aca="false">IF(AI243="","",IF(INDEX($L:$L,243)="",1,IF(COUNTIF($L$7:L243,INDEX($L:$L,243))=1,1,"")))</f>
        <v/>
      </c>
      <c r="AO243" s="95" t="str">
        <f aca="false">IF(AN243&lt;&gt;1,"",IF(INDEX($L:$L,243)="",IF(INDEX($S:$S,243)="Yes",1,""),IF(COUNTIFS($L$7:$L$506,INDEX($L:$L,243),$S$7:$S$506,"Yes")&gt;0,1,"")))</f>
        <v/>
      </c>
      <c r="AP243" s="95" t="str">
        <f aca="false">IF(AN243&lt;&gt;1,"",IF(INDEX($L:$L,243)&lt;&gt;"",INDEX($L:$L,243),TRIM(INDEX($D:$D,243)&amp;" "&amp;INDEX($C:$C,243))))</f>
        <v/>
      </c>
      <c r="AQ243" s="43" t="str">
        <f aca="false">IF(OR(AI243="",INDEX($I:$I,243)="Yes"),"",1)</f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customFormat="false" ht="21.75" hidden="false" customHeight="true" outlineLevel="0" collapsed="false">
      <c r="A244" s="1"/>
      <c r="B244" s="113" t="str">
        <f aca="false">IF(AI244="","",COUNT($AI$7:AI244))</f>
        <v/>
      </c>
      <c r="C244" s="114"/>
      <c r="D244" s="114"/>
      <c r="E244" s="114"/>
      <c r="F244" s="114"/>
      <c r="G244" s="115"/>
      <c r="H244" s="115"/>
      <c r="I244" s="115"/>
      <c r="J244" s="115"/>
      <c r="K244" s="115"/>
      <c r="L244" s="114"/>
      <c r="M244" s="114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4"/>
      <c r="Y244" s="114"/>
      <c r="Z244" s="115"/>
      <c r="AA244" s="114"/>
      <c r="AB244" s="114"/>
      <c r="AC244" s="115"/>
      <c r="AD244" s="116"/>
      <c r="AE244" s="114"/>
      <c r="AF244" s="114"/>
      <c r="AG244" s="114"/>
      <c r="AH244" s="1"/>
      <c r="AI244" s="95" t="str">
        <f aca="false">IF(INDEX($C:$C,244)&amp;INDEX($D:$D,244)="","",1)</f>
        <v/>
      </c>
      <c r="AJ244" s="95" t="str">
        <f aca="false">IF(OR(AI244="",INDEX($Z:$Z,244)="",INDEX($U:$U,244)="Declined"),"",1)</f>
        <v/>
      </c>
      <c r="AK244" s="95" t="str">
        <f aca="false">IF(AJ244="","",INDEX($Z:$Z,244)&amp;"-"&amp;COUNTIFS($Z$7:Z244,INDEX($Z:$Z,244),$AJ$7:AJ244,1))</f>
        <v/>
      </c>
      <c r="AL244" s="43" t="str">
        <f aca="false">IF(AI244="","",TRIM(INDEX($D:$D,244)&amp;" "&amp;INDEX($C:$C,244))&amp;IF(INDEX($I:$I,244)="Yes"," (child)",""))</f>
        <v/>
      </c>
      <c r="AM244" s="95" t="str">
        <f aca="false">IF(OR(AI244="",INDEX($X:$X,244)="",INDEX($U:$U,244)="Declined"),"",COUNTIFS($X$7:X244,"?*",$U$7:U244,"&lt;&gt;Declined",$AI$7:AI244,1))</f>
        <v/>
      </c>
      <c r="AN244" s="95" t="str">
        <f aca="false">IF(AI244="","",IF(INDEX($L:$L,244)="",1,IF(COUNTIF($L$7:L244,INDEX($L:$L,244))=1,1,"")))</f>
        <v/>
      </c>
      <c r="AO244" s="95" t="str">
        <f aca="false">IF(AN244&lt;&gt;1,"",IF(INDEX($L:$L,244)="",IF(INDEX($S:$S,244)="Yes",1,""),IF(COUNTIFS($L$7:$L$506,INDEX($L:$L,244),$S$7:$S$506,"Yes")&gt;0,1,"")))</f>
        <v/>
      </c>
      <c r="AP244" s="95" t="str">
        <f aca="false">IF(AN244&lt;&gt;1,"",IF(INDEX($L:$L,244)&lt;&gt;"",INDEX($L:$L,244),TRIM(INDEX($D:$D,244)&amp;" "&amp;INDEX($C:$C,244))))</f>
        <v/>
      </c>
      <c r="AQ244" s="43" t="str">
        <f aca="false">IF(OR(AI244="",INDEX($I:$I,244)="Yes"),"",1)</f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customFormat="false" ht="21.75" hidden="false" customHeight="true" outlineLevel="0" collapsed="false">
      <c r="A245" s="1"/>
      <c r="B245" s="113" t="str">
        <f aca="false">IF(AI245="","",COUNT($AI$7:AI245))</f>
        <v/>
      </c>
      <c r="C245" s="114"/>
      <c r="D245" s="114"/>
      <c r="E245" s="114"/>
      <c r="F245" s="114"/>
      <c r="G245" s="115"/>
      <c r="H245" s="115"/>
      <c r="I245" s="115"/>
      <c r="J245" s="115"/>
      <c r="K245" s="115"/>
      <c r="L245" s="114"/>
      <c r="M245" s="114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4"/>
      <c r="Y245" s="114"/>
      <c r="Z245" s="115"/>
      <c r="AA245" s="114"/>
      <c r="AB245" s="114"/>
      <c r="AC245" s="115"/>
      <c r="AD245" s="116"/>
      <c r="AE245" s="114"/>
      <c r="AF245" s="114"/>
      <c r="AG245" s="114"/>
      <c r="AH245" s="1"/>
      <c r="AI245" s="95" t="str">
        <f aca="false">IF(INDEX($C:$C,245)&amp;INDEX($D:$D,245)="","",1)</f>
        <v/>
      </c>
      <c r="AJ245" s="95" t="str">
        <f aca="false">IF(OR(AI245="",INDEX($Z:$Z,245)="",INDEX($U:$U,245)="Declined"),"",1)</f>
        <v/>
      </c>
      <c r="AK245" s="95" t="str">
        <f aca="false">IF(AJ245="","",INDEX($Z:$Z,245)&amp;"-"&amp;COUNTIFS($Z$7:Z245,INDEX($Z:$Z,245),$AJ$7:AJ245,1))</f>
        <v/>
      </c>
      <c r="AL245" s="43" t="str">
        <f aca="false">IF(AI245="","",TRIM(INDEX($D:$D,245)&amp;" "&amp;INDEX($C:$C,245))&amp;IF(INDEX($I:$I,245)="Yes"," (child)",""))</f>
        <v/>
      </c>
      <c r="AM245" s="95" t="str">
        <f aca="false">IF(OR(AI245="",INDEX($X:$X,245)="",INDEX($U:$U,245)="Declined"),"",COUNTIFS($X$7:X245,"?*",$U$7:U245,"&lt;&gt;Declined",$AI$7:AI245,1))</f>
        <v/>
      </c>
      <c r="AN245" s="95" t="str">
        <f aca="false">IF(AI245="","",IF(INDEX($L:$L,245)="",1,IF(COUNTIF($L$7:L245,INDEX($L:$L,245))=1,1,"")))</f>
        <v/>
      </c>
      <c r="AO245" s="95" t="str">
        <f aca="false">IF(AN245&lt;&gt;1,"",IF(INDEX($L:$L,245)="",IF(INDEX($S:$S,245)="Yes",1,""),IF(COUNTIFS($L$7:$L$506,INDEX($L:$L,245),$S$7:$S$506,"Yes")&gt;0,1,"")))</f>
        <v/>
      </c>
      <c r="AP245" s="95" t="str">
        <f aca="false">IF(AN245&lt;&gt;1,"",IF(INDEX($L:$L,245)&lt;&gt;"",INDEX($L:$L,245),TRIM(INDEX($D:$D,245)&amp;" "&amp;INDEX($C:$C,245))))</f>
        <v/>
      </c>
      <c r="AQ245" s="43" t="str">
        <f aca="false">IF(OR(AI245="",INDEX($I:$I,245)="Yes"),"",1)</f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customFormat="false" ht="21.75" hidden="false" customHeight="true" outlineLevel="0" collapsed="false">
      <c r="A246" s="1"/>
      <c r="B246" s="113" t="str">
        <f aca="false">IF(AI246="","",COUNT($AI$7:AI246))</f>
        <v/>
      </c>
      <c r="C246" s="114"/>
      <c r="D246" s="114"/>
      <c r="E246" s="114"/>
      <c r="F246" s="114"/>
      <c r="G246" s="115"/>
      <c r="H246" s="115"/>
      <c r="I246" s="115"/>
      <c r="J246" s="115"/>
      <c r="K246" s="115"/>
      <c r="L246" s="114"/>
      <c r="M246" s="114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4"/>
      <c r="Y246" s="114"/>
      <c r="Z246" s="115"/>
      <c r="AA246" s="114"/>
      <c r="AB246" s="114"/>
      <c r="AC246" s="115"/>
      <c r="AD246" s="116"/>
      <c r="AE246" s="114"/>
      <c r="AF246" s="114"/>
      <c r="AG246" s="114"/>
      <c r="AH246" s="1"/>
      <c r="AI246" s="95" t="str">
        <f aca="false">IF(INDEX($C:$C,246)&amp;INDEX($D:$D,246)="","",1)</f>
        <v/>
      </c>
      <c r="AJ246" s="95" t="str">
        <f aca="false">IF(OR(AI246="",INDEX($Z:$Z,246)="",INDEX($U:$U,246)="Declined"),"",1)</f>
        <v/>
      </c>
      <c r="AK246" s="95" t="str">
        <f aca="false">IF(AJ246="","",INDEX($Z:$Z,246)&amp;"-"&amp;COUNTIFS($Z$7:Z246,INDEX($Z:$Z,246),$AJ$7:AJ246,1))</f>
        <v/>
      </c>
      <c r="AL246" s="43" t="str">
        <f aca="false">IF(AI246="","",TRIM(INDEX($D:$D,246)&amp;" "&amp;INDEX($C:$C,246))&amp;IF(INDEX($I:$I,246)="Yes"," (child)",""))</f>
        <v/>
      </c>
      <c r="AM246" s="95" t="str">
        <f aca="false">IF(OR(AI246="",INDEX($X:$X,246)="",INDEX($U:$U,246)="Declined"),"",COUNTIFS($X$7:X246,"?*",$U$7:U246,"&lt;&gt;Declined",$AI$7:AI246,1))</f>
        <v/>
      </c>
      <c r="AN246" s="95" t="str">
        <f aca="false">IF(AI246="","",IF(INDEX($L:$L,246)="",1,IF(COUNTIF($L$7:L246,INDEX($L:$L,246))=1,1,"")))</f>
        <v/>
      </c>
      <c r="AO246" s="95" t="str">
        <f aca="false">IF(AN246&lt;&gt;1,"",IF(INDEX($L:$L,246)="",IF(INDEX($S:$S,246)="Yes",1,""),IF(COUNTIFS($L$7:$L$506,INDEX($L:$L,246),$S$7:$S$506,"Yes")&gt;0,1,"")))</f>
        <v/>
      </c>
      <c r="AP246" s="95" t="str">
        <f aca="false">IF(AN246&lt;&gt;1,"",IF(INDEX($L:$L,246)&lt;&gt;"",INDEX($L:$L,246),TRIM(INDEX($D:$D,246)&amp;" "&amp;INDEX($C:$C,246))))</f>
        <v/>
      </c>
      <c r="AQ246" s="43" t="str">
        <f aca="false">IF(OR(AI246="",INDEX($I:$I,246)="Yes"),"",1)</f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customFormat="false" ht="21.75" hidden="false" customHeight="true" outlineLevel="0" collapsed="false">
      <c r="A247" s="1"/>
      <c r="B247" s="113" t="str">
        <f aca="false">IF(AI247="","",COUNT($AI$7:AI247))</f>
        <v/>
      </c>
      <c r="C247" s="114"/>
      <c r="D247" s="114"/>
      <c r="E247" s="114"/>
      <c r="F247" s="114"/>
      <c r="G247" s="115"/>
      <c r="H247" s="115"/>
      <c r="I247" s="115"/>
      <c r="J247" s="115"/>
      <c r="K247" s="115"/>
      <c r="L247" s="114"/>
      <c r="M247" s="114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4"/>
      <c r="Y247" s="114"/>
      <c r="Z247" s="115"/>
      <c r="AA247" s="114"/>
      <c r="AB247" s="114"/>
      <c r="AC247" s="115"/>
      <c r="AD247" s="116"/>
      <c r="AE247" s="114"/>
      <c r="AF247" s="114"/>
      <c r="AG247" s="114"/>
      <c r="AH247" s="1"/>
      <c r="AI247" s="95" t="str">
        <f aca="false">IF(INDEX($C:$C,247)&amp;INDEX($D:$D,247)="","",1)</f>
        <v/>
      </c>
      <c r="AJ247" s="95" t="str">
        <f aca="false">IF(OR(AI247="",INDEX($Z:$Z,247)="",INDEX($U:$U,247)="Declined"),"",1)</f>
        <v/>
      </c>
      <c r="AK247" s="95" t="str">
        <f aca="false">IF(AJ247="","",INDEX($Z:$Z,247)&amp;"-"&amp;COUNTIFS($Z$7:Z247,INDEX($Z:$Z,247),$AJ$7:AJ247,1))</f>
        <v/>
      </c>
      <c r="AL247" s="43" t="str">
        <f aca="false">IF(AI247="","",TRIM(INDEX($D:$D,247)&amp;" "&amp;INDEX($C:$C,247))&amp;IF(INDEX($I:$I,247)="Yes"," (child)",""))</f>
        <v/>
      </c>
      <c r="AM247" s="95" t="str">
        <f aca="false">IF(OR(AI247="",INDEX($X:$X,247)="",INDEX($U:$U,247)="Declined"),"",COUNTIFS($X$7:X247,"?*",$U$7:U247,"&lt;&gt;Declined",$AI$7:AI247,1))</f>
        <v/>
      </c>
      <c r="AN247" s="95" t="str">
        <f aca="false">IF(AI247="","",IF(INDEX($L:$L,247)="",1,IF(COUNTIF($L$7:L247,INDEX($L:$L,247))=1,1,"")))</f>
        <v/>
      </c>
      <c r="AO247" s="95" t="str">
        <f aca="false">IF(AN247&lt;&gt;1,"",IF(INDEX($L:$L,247)="",IF(INDEX($S:$S,247)="Yes",1,""),IF(COUNTIFS($L$7:$L$506,INDEX($L:$L,247),$S$7:$S$506,"Yes")&gt;0,1,"")))</f>
        <v/>
      </c>
      <c r="AP247" s="95" t="str">
        <f aca="false">IF(AN247&lt;&gt;1,"",IF(INDEX($L:$L,247)&lt;&gt;"",INDEX($L:$L,247),TRIM(INDEX($D:$D,247)&amp;" "&amp;INDEX($C:$C,247))))</f>
        <v/>
      </c>
      <c r="AQ247" s="43" t="str">
        <f aca="false">IF(OR(AI247="",INDEX($I:$I,247)="Yes"),"",1)</f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customFormat="false" ht="21.75" hidden="false" customHeight="true" outlineLevel="0" collapsed="false">
      <c r="A248" s="1"/>
      <c r="B248" s="113" t="str">
        <f aca="false">IF(AI248="","",COUNT($AI$7:AI248))</f>
        <v/>
      </c>
      <c r="C248" s="114"/>
      <c r="D248" s="114"/>
      <c r="E248" s="114"/>
      <c r="F248" s="114"/>
      <c r="G248" s="115"/>
      <c r="H248" s="115"/>
      <c r="I248" s="115"/>
      <c r="J248" s="115"/>
      <c r="K248" s="115"/>
      <c r="L248" s="114"/>
      <c r="M248" s="114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4"/>
      <c r="Y248" s="114"/>
      <c r="Z248" s="115"/>
      <c r="AA248" s="114"/>
      <c r="AB248" s="114"/>
      <c r="AC248" s="115"/>
      <c r="AD248" s="116"/>
      <c r="AE248" s="114"/>
      <c r="AF248" s="114"/>
      <c r="AG248" s="114"/>
      <c r="AH248" s="1"/>
      <c r="AI248" s="95" t="str">
        <f aca="false">IF(INDEX($C:$C,248)&amp;INDEX($D:$D,248)="","",1)</f>
        <v/>
      </c>
      <c r="AJ248" s="95" t="str">
        <f aca="false">IF(OR(AI248="",INDEX($Z:$Z,248)="",INDEX($U:$U,248)="Declined"),"",1)</f>
        <v/>
      </c>
      <c r="AK248" s="95" t="str">
        <f aca="false">IF(AJ248="","",INDEX($Z:$Z,248)&amp;"-"&amp;COUNTIFS($Z$7:Z248,INDEX($Z:$Z,248),$AJ$7:AJ248,1))</f>
        <v/>
      </c>
      <c r="AL248" s="43" t="str">
        <f aca="false">IF(AI248="","",TRIM(INDEX($D:$D,248)&amp;" "&amp;INDEX($C:$C,248))&amp;IF(INDEX($I:$I,248)="Yes"," (child)",""))</f>
        <v/>
      </c>
      <c r="AM248" s="95" t="str">
        <f aca="false">IF(OR(AI248="",INDEX($X:$X,248)="",INDEX($U:$U,248)="Declined"),"",COUNTIFS($X$7:X248,"?*",$U$7:U248,"&lt;&gt;Declined",$AI$7:AI248,1))</f>
        <v/>
      </c>
      <c r="AN248" s="95" t="str">
        <f aca="false">IF(AI248="","",IF(INDEX($L:$L,248)="",1,IF(COUNTIF($L$7:L248,INDEX($L:$L,248))=1,1,"")))</f>
        <v/>
      </c>
      <c r="AO248" s="95" t="str">
        <f aca="false">IF(AN248&lt;&gt;1,"",IF(INDEX($L:$L,248)="",IF(INDEX($S:$S,248)="Yes",1,""),IF(COUNTIFS($L$7:$L$506,INDEX($L:$L,248),$S$7:$S$506,"Yes")&gt;0,1,"")))</f>
        <v/>
      </c>
      <c r="AP248" s="95" t="str">
        <f aca="false">IF(AN248&lt;&gt;1,"",IF(INDEX($L:$L,248)&lt;&gt;"",INDEX($L:$L,248),TRIM(INDEX($D:$D,248)&amp;" "&amp;INDEX($C:$C,248))))</f>
        <v/>
      </c>
      <c r="AQ248" s="43" t="str">
        <f aca="false">IF(OR(AI248="",INDEX($I:$I,248)="Yes"),"",1)</f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customFormat="false" ht="21.75" hidden="false" customHeight="true" outlineLevel="0" collapsed="false">
      <c r="A249" s="1"/>
      <c r="B249" s="113" t="str">
        <f aca="false">IF(AI249="","",COUNT($AI$7:AI249))</f>
        <v/>
      </c>
      <c r="C249" s="114"/>
      <c r="D249" s="114"/>
      <c r="E249" s="114"/>
      <c r="F249" s="114"/>
      <c r="G249" s="115"/>
      <c r="H249" s="115"/>
      <c r="I249" s="115"/>
      <c r="J249" s="115"/>
      <c r="K249" s="115"/>
      <c r="L249" s="114"/>
      <c r="M249" s="114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4"/>
      <c r="Y249" s="114"/>
      <c r="Z249" s="115"/>
      <c r="AA249" s="114"/>
      <c r="AB249" s="114"/>
      <c r="AC249" s="115"/>
      <c r="AD249" s="116"/>
      <c r="AE249" s="114"/>
      <c r="AF249" s="114"/>
      <c r="AG249" s="114"/>
      <c r="AH249" s="1"/>
      <c r="AI249" s="95" t="str">
        <f aca="false">IF(INDEX($C:$C,249)&amp;INDEX($D:$D,249)="","",1)</f>
        <v/>
      </c>
      <c r="AJ249" s="95" t="str">
        <f aca="false">IF(OR(AI249="",INDEX($Z:$Z,249)="",INDEX($U:$U,249)="Declined"),"",1)</f>
        <v/>
      </c>
      <c r="AK249" s="95" t="str">
        <f aca="false">IF(AJ249="","",INDEX($Z:$Z,249)&amp;"-"&amp;COUNTIFS($Z$7:Z249,INDEX($Z:$Z,249),$AJ$7:AJ249,1))</f>
        <v/>
      </c>
      <c r="AL249" s="43" t="str">
        <f aca="false">IF(AI249="","",TRIM(INDEX($D:$D,249)&amp;" "&amp;INDEX($C:$C,249))&amp;IF(INDEX($I:$I,249)="Yes"," (child)",""))</f>
        <v/>
      </c>
      <c r="AM249" s="95" t="str">
        <f aca="false">IF(OR(AI249="",INDEX($X:$X,249)="",INDEX($U:$U,249)="Declined"),"",COUNTIFS($X$7:X249,"?*",$U$7:U249,"&lt;&gt;Declined",$AI$7:AI249,1))</f>
        <v/>
      </c>
      <c r="AN249" s="95" t="str">
        <f aca="false">IF(AI249="","",IF(INDEX($L:$L,249)="",1,IF(COUNTIF($L$7:L249,INDEX($L:$L,249))=1,1,"")))</f>
        <v/>
      </c>
      <c r="AO249" s="95" t="str">
        <f aca="false">IF(AN249&lt;&gt;1,"",IF(INDEX($L:$L,249)="",IF(INDEX($S:$S,249)="Yes",1,""),IF(COUNTIFS($L$7:$L$506,INDEX($L:$L,249),$S$7:$S$506,"Yes")&gt;0,1,"")))</f>
        <v/>
      </c>
      <c r="AP249" s="95" t="str">
        <f aca="false">IF(AN249&lt;&gt;1,"",IF(INDEX($L:$L,249)&lt;&gt;"",INDEX($L:$L,249),TRIM(INDEX($D:$D,249)&amp;" "&amp;INDEX($C:$C,249))))</f>
        <v/>
      </c>
      <c r="AQ249" s="43" t="str">
        <f aca="false">IF(OR(AI249="",INDEX($I:$I,249)="Yes"),"",1)</f>
        <v/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customFormat="false" ht="21.75" hidden="false" customHeight="true" outlineLevel="0" collapsed="false">
      <c r="A250" s="1"/>
      <c r="B250" s="113" t="str">
        <f aca="false">IF(AI250="","",COUNT($AI$7:AI250))</f>
        <v/>
      </c>
      <c r="C250" s="114"/>
      <c r="D250" s="114"/>
      <c r="E250" s="114"/>
      <c r="F250" s="114"/>
      <c r="G250" s="115"/>
      <c r="H250" s="115"/>
      <c r="I250" s="115"/>
      <c r="J250" s="115"/>
      <c r="K250" s="115"/>
      <c r="L250" s="114"/>
      <c r="M250" s="114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4"/>
      <c r="Y250" s="114"/>
      <c r="Z250" s="115"/>
      <c r="AA250" s="114"/>
      <c r="AB250" s="114"/>
      <c r="AC250" s="115"/>
      <c r="AD250" s="116"/>
      <c r="AE250" s="114"/>
      <c r="AF250" s="114"/>
      <c r="AG250" s="114"/>
      <c r="AH250" s="1"/>
      <c r="AI250" s="95" t="str">
        <f aca="false">IF(INDEX($C:$C,250)&amp;INDEX($D:$D,250)="","",1)</f>
        <v/>
      </c>
      <c r="AJ250" s="95" t="str">
        <f aca="false">IF(OR(AI250="",INDEX($Z:$Z,250)="",INDEX($U:$U,250)="Declined"),"",1)</f>
        <v/>
      </c>
      <c r="AK250" s="95" t="str">
        <f aca="false">IF(AJ250="","",INDEX($Z:$Z,250)&amp;"-"&amp;COUNTIFS($Z$7:Z250,INDEX($Z:$Z,250),$AJ$7:AJ250,1))</f>
        <v/>
      </c>
      <c r="AL250" s="43" t="str">
        <f aca="false">IF(AI250="","",TRIM(INDEX($D:$D,250)&amp;" "&amp;INDEX($C:$C,250))&amp;IF(INDEX($I:$I,250)="Yes"," (child)",""))</f>
        <v/>
      </c>
      <c r="AM250" s="95" t="str">
        <f aca="false">IF(OR(AI250="",INDEX($X:$X,250)="",INDEX($U:$U,250)="Declined"),"",COUNTIFS($X$7:X250,"?*",$U$7:U250,"&lt;&gt;Declined",$AI$7:AI250,1))</f>
        <v/>
      </c>
      <c r="AN250" s="95" t="str">
        <f aca="false">IF(AI250="","",IF(INDEX($L:$L,250)="",1,IF(COUNTIF($L$7:L250,INDEX($L:$L,250))=1,1,"")))</f>
        <v/>
      </c>
      <c r="AO250" s="95" t="str">
        <f aca="false">IF(AN250&lt;&gt;1,"",IF(INDEX($L:$L,250)="",IF(INDEX($S:$S,250)="Yes",1,""),IF(COUNTIFS($L$7:$L$506,INDEX($L:$L,250),$S$7:$S$506,"Yes")&gt;0,1,"")))</f>
        <v/>
      </c>
      <c r="AP250" s="95" t="str">
        <f aca="false">IF(AN250&lt;&gt;1,"",IF(INDEX($L:$L,250)&lt;&gt;"",INDEX($L:$L,250),TRIM(INDEX($D:$D,250)&amp;" "&amp;INDEX($C:$C,250))))</f>
        <v/>
      </c>
      <c r="AQ250" s="43" t="str">
        <f aca="false">IF(OR(AI250="",INDEX($I:$I,250)="Yes"),"",1)</f>
        <v/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customFormat="false" ht="21.75" hidden="false" customHeight="true" outlineLevel="0" collapsed="false">
      <c r="A251" s="1"/>
      <c r="B251" s="113" t="str">
        <f aca="false">IF(AI251="","",COUNT($AI$7:AI251))</f>
        <v/>
      </c>
      <c r="C251" s="114"/>
      <c r="D251" s="114"/>
      <c r="E251" s="114"/>
      <c r="F251" s="114"/>
      <c r="G251" s="115"/>
      <c r="H251" s="115"/>
      <c r="I251" s="115"/>
      <c r="J251" s="115"/>
      <c r="K251" s="115"/>
      <c r="L251" s="114"/>
      <c r="M251" s="114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4"/>
      <c r="Y251" s="114"/>
      <c r="Z251" s="115"/>
      <c r="AA251" s="114"/>
      <c r="AB251" s="114"/>
      <c r="AC251" s="115"/>
      <c r="AD251" s="116"/>
      <c r="AE251" s="114"/>
      <c r="AF251" s="114"/>
      <c r="AG251" s="114"/>
      <c r="AH251" s="1"/>
      <c r="AI251" s="95" t="str">
        <f aca="false">IF(INDEX($C:$C,251)&amp;INDEX($D:$D,251)="","",1)</f>
        <v/>
      </c>
      <c r="AJ251" s="95" t="str">
        <f aca="false">IF(OR(AI251="",INDEX($Z:$Z,251)="",INDEX($U:$U,251)="Declined"),"",1)</f>
        <v/>
      </c>
      <c r="AK251" s="95" t="str">
        <f aca="false">IF(AJ251="","",INDEX($Z:$Z,251)&amp;"-"&amp;COUNTIFS($Z$7:Z251,INDEX($Z:$Z,251),$AJ$7:AJ251,1))</f>
        <v/>
      </c>
      <c r="AL251" s="43" t="str">
        <f aca="false">IF(AI251="","",TRIM(INDEX($D:$D,251)&amp;" "&amp;INDEX($C:$C,251))&amp;IF(INDEX($I:$I,251)="Yes"," (child)",""))</f>
        <v/>
      </c>
      <c r="AM251" s="95" t="str">
        <f aca="false">IF(OR(AI251="",INDEX($X:$X,251)="",INDEX($U:$U,251)="Declined"),"",COUNTIFS($X$7:X251,"?*",$U$7:U251,"&lt;&gt;Declined",$AI$7:AI251,1))</f>
        <v/>
      </c>
      <c r="AN251" s="95" t="str">
        <f aca="false">IF(AI251="","",IF(INDEX($L:$L,251)="",1,IF(COUNTIF($L$7:L251,INDEX($L:$L,251))=1,1,"")))</f>
        <v/>
      </c>
      <c r="AO251" s="95" t="str">
        <f aca="false">IF(AN251&lt;&gt;1,"",IF(INDEX($L:$L,251)="",IF(INDEX($S:$S,251)="Yes",1,""),IF(COUNTIFS($L$7:$L$506,INDEX($L:$L,251),$S$7:$S$506,"Yes")&gt;0,1,"")))</f>
        <v/>
      </c>
      <c r="AP251" s="95" t="str">
        <f aca="false">IF(AN251&lt;&gt;1,"",IF(INDEX($L:$L,251)&lt;&gt;"",INDEX($L:$L,251),TRIM(INDEX($D:$D,251)&amp;" "&amp;INDEX($C:$C,251))))</f>
        <v/>
      </c>
      <c r="AQ251" s="43" t="str">
        <f aca="false">IF(OR(AI251="",INDEX($I:$I,251)="Yes"),"",1)</f>
        <v/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customFormat="false" ht="21.75" hidden="false" customHeight="true" outlineLevel="0" collapsed="false">
      <c r="A252" s="1"/>
      <c r="B252" s="113" t="str">
        <f aca="false">IF(AI252="","",COUNT($AI$7:AI252))</f>
        <v/>
      </c>
      <c r="C252" s="114"/>
      <c r="D252" s="114"/>
      <c r="E252" s="114"/>
      <c r="F252" s="114"/>
      <c r="G252" s="115"/>
      <c r="H252" s="115"/>
      <c r="I252" s="115"/>
      <c r="J252" s="115"/>
      <c r="K252" s="115"/>
      <c r="L252" s="114"/>
      <c r="M252" s="114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4"/>
      <c r="Y252" s="114"/>
      <c r="Z252" s="115"/>
      <c r="AA252" s="114"/>
      <c r="AB252" s="114"/>
      <c r="AC252" s="115"/>
      <c r="AD252" s="116"/>
      <c r="AE252" s="114"/>
      <c r="AF252" s="114"/>
      <c r="AG252" s="114"/>
      <c r="AH252" s="1"/>
      <c r="AI252" s="95" t="str">
        <f aca="false">IF(INDEX($C:$C,252)&amp;INDEX($D:$D,252)="","",1)</f>
        <v/>
      </c>
      <c r="AJ252" s="95" t="str">
        <f aca="false">IF(OR(AI252="",INDEX($Z:$Z,252)="",INDEX($U:$U,252)="Declined"),"",1)</f>
        <v/>
      </c>
      <c r="AK252" s="95" t="str">
        <f aca="false">IF(AJ252="","",INDEX($Z:$Z,252)&amp;"-"&amp;COUNTIFS($Z$7:Z252,INDEX($Z:$Z,252),$AJ$7:AJ252,1))</f>
        <v/>
      </c>
      <c r="AL252" s="43" t="str">
        <f aca="false">IF(AI252="","",TRIM(INDEX($D:$D,252)&amp;" "&amp;INDEX($C:$C,252))&amp;IF(INDEX($I:$I,252)="Yes"," (child)",""))</f>
        <v/>
      </c>
      <c r="AM252" s="95" t="str">
        <f aca="false">IF(OR(AI252="",INDEX($X:$X,252)="",INDEX($U:$U,252)="Declined"),"",COUNTIFS($X$7:X252,"?*",$U$7:U252,"&lt;&gt;Declined",$AI$7:AI252,1))</f>
        <v/>
      </c>
      <c r="AN252" s="95" t="str">
        <f aca="false">IF(AI252="","",IF(INDEX($L:$L,252)="",1,IF(COUNTIF($L$7:L252,INDEX($L:$L,252))=1,1,"")))</f>
        <v/>
      </c>
      <c r="AO252" s="95" t="str">
        <f aca="false">IF(AN252&lt;&gt;1,"",IF(INDEX($L:$L,252)="",IF(INDEX($S:$S,252)="Yes",1,""),IF(COUNTIFS($L$7:$L$506,INDEX($L:$L,252),$S$7:$S$506,"Yes")&gt;0,1,"")))</f>
        <v/>
      </c>
      <c r="AP252" s="95" t="str">
        <f aca="false">IF(AN252&lt;&gt;1,"",IF(INDEX($L:$L,252)&lt;&gt;"",INDEX($L:$L,252),TRIM(INDEX($D:$D,252)&amp;" "&amp;INDEX($C:$C,252))))</f>
        <v/>
      </c>
      <c r="AQ252" s="43" t="str">
        <f aca="false">IF(OR(AI252="",INDEX($I:$I,252)="Yes"),"",1)</f>
        <v/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customFormat="false" ht="21.75" hidden="false" customHeight="true" outlineLevel="0" collapsed="false">
      <c r="A253" s="1"/>
      <c r="B253" s="113" t="str">
        <f aca="false">IF(AI253="","",COUNT($AI$7:AI253))</f>
        <v/>
      </c>
      <c r="C253" s="114"/>
      <c r="D253" s="114"/>
      <c r="E253" s="114"/>
      <c r="F253" s="114"/>
      <c r="G253" s="115"/>
      <c r="H253" s="115"/>
      <c r="I253" s="115"/>
      <c r="J253" s="115"/>
      <c r="K253" s="115"/>
      <c r="L253" s="114"/>
      <c r="M253" s="114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4"/>
      <c r="Y253" s="114"/>
      <c r="Z253" s="115"/>
      <c r="AA253" s="114"/>
      <c r="AB253" s="114"/>
      <c r="AC253" s="115"/>
      <c r="AD253" s="116"/>
      <c r="AE253" s="114"/>
      <c r="AF253" s="114"/>
      <c r="AG253" s="114"/>
      <c r="AH253" s="1"/>
      <c r="AI253" s="95" t="str">
        <f aca="false">IF(INDEX($C:$C,253)&amp;INDEX($D:$D,253)="","",1)</f>
        <v/>
      </c>
      <c r="AJ253" s="95" t="str">
        <f aca="false">IF(OR(AI253="",INDEX($Z:$Z,253)="",INDEX($U:$U,253)="Declined"),"",1)</f>
        <v/>
      </c>
      <c r="AK253" s="95" t="str">
        <f aca="false">IF(AJ253="","",INDEX($Z:$Z,253)&amp;"-"&amp;COUNTIFS($Z$7:Z253,INDEX($Z:$Z,253),$AJ$7:AJ253,1))</f>
        <v/>
      </c>
      <c r="AL253" s="43" t="str">
        <f aca="false">IF(AI253="","",TRIM(INDEX($D:$D,253)&amp;" "&amp;INDEX($C:$C,253))&amp;IF(INDEX($I:$I,253)="Yes"," (child)",""))</f>
        <v/>
      </c>
      <c r="AM253" s="95" t="str">
        <f aca="false">IF(OR(AI253="",INDEX($X:$X,253)="",INDEX($U:$U,253)="Declined"),"",COUNTIFS($X$7:X253,"?*",$U$7:U253,"&lt;&gt;Declined",$AI$7:AI253,1))</f>
        <v/>
      </c>
      <c r="AN253" s="95" t="str">
        <f aca="false">IF(AI253="","",IF(INDEX($L:$L,253)="",1,IF(COUNTIF($L$7:L253,INDEX($L:$L,253))=1,1,"")))</f>
        <v/>
      </c>
      <c r="AO253" s="95" t="str">
        <f aca="false">IF(AN253&lt;&gt;1,"",IF(INDEX($L:$L,253)="",IF(INDEX($S:$S,253)="Yes",1,""),IF(COUNTIFS($L$7:$L$506,INDEX($L:$L,253),$S$7:$S$506,"Yes")&gt;0,1,"")))</f>
        <v/>
      </c>
      <c r="AP253" s="95" t="str">
        <f aca="false">IF(AN253&lt;&gt;1,"",IF(INDEX($L:$L,253)&lt;&gt;"",INDEX($L:$L,253),TRIM(INDEX($D:$D,253)&amp;" "&amp;INDEX($C:$C,253))))</f>
        <v/>
      </c>
      <c r="AQ253" s="43" t="str">
        <f aca="false">IF(OR(AI253="",INDEX($I:$I,253)="Yes"),"",1)</f>
        <v/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customFormat="false" ht="21.75" hidden="false" customHeight="true" outlineLevel="0" collapsed="false">
      <c r="A254" s="1"/>
      <c r="B254" s="113" t="str">
        <f aca="false">IF(AI254="","",COUNT($AI$7:AI254))</f>
        <v/>
      </c>
      <c r="C254" s="114"/>
      <c r="D254" s="114"/>
      <c r="E254" s="114"/>
      <c r="F254" s="114"/>
      <c r="G254" s="115"/>
      <c r="H254" s="115"/>
      <c r="I254" s="115"/>
      <c r="J254" s="115"/>
      <c r="K254" s="115"/>
      <c r="L254" s="114"/>
      <c r="M254" s="114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4"/>
      <c r="Y254" s="114"/>
      <c r="Z254" s="115"/>
      <c r="AA254" s="114"/>
      <c r="AB254" s="114"/>
      <c r="AC254" s="115"/>
      <c r="AD254" s="116"/>
      <c r="AE254" s="114"/>
      <c r="AF254" s="114"/>
      <c r="AG254" s="114"/>
      <c r="AH254" s="1"/>
      <c r="AI254" s="95" t="str">
        <f aca="false">IF(INDEX($C:$C,254)&amp;INDEX($D:$D,254)="","",1)</f>
        <v/>
      </c>
      <c r="AJ254" s="95" t="str">
        <f aca="false">IF(OR(AI254="",INDEX($Z:$Z,254)="",INDEX($U:$U,254)="Declined"),"",1)</f>
        <v/>
      </c>
      <c r="AK254" s="95" t="str">
        <f aca="false">IF(AJ254="","",INDEX($Z:$Z,254)&amp;"-"&amp;COUNTIFS($Z$7:Z254,INDEX($Z:$Z,254),$AJ$7:AJ254,1))</f>
        <v/>
      </c>
      <c r="AL254" s="43" t="str">
        <f aca="false">IF(AI254="","",TRIM(INDEX($D:$D,254)&amp;" "&amp;INDEX($C:$C,254))&amp;IF(INDEX($I:$I,254)="Yes"," (child)",""))</f>
        <v/>
      </c>
      <c r="AM254" s="95" t="str">
        <f aca="false">IF(OR(AI254="",INDEX($X:$X,254)="",INDEX($U:$U,254)="Declined"),"",COUNTIFS($X$7:X254,"?*",$U$7:U254,"&lt;&gt;Declined",$AI$7:AI254,1))</f>
        <v/>
      </c>
      <c r="AN254" s="95" t="str">
        <f aca="false">IF(AI254="","",IF(INDEX($L:$L,254)="",1,IF(COUNTIF($L$7:L254,INDEX($L:$L,254))=1,1,"")))</f>
        <v/>
      </c>
      <c r="AO254" s="95" t="str">
        <f aca="false">IF(AN254&lt;&gt;1,"",IF(INDEX($L:$L,254)="",IF(INDEX($S:$S,254)="Yes",1,""),IF(COUNTIFS($L$7:$L$506,INDEX($L:$L,254),$S$7:$S$506,"Yes")&gt;0,1,"")))</f>
        <v/>
      </c>
      <c r="AP254" s="95" t="str">
        <f aca="false">IF(AN254&lt;&gt;1,"",IF(INDEX($L:$L,254)&lt;&gt;"",INDEX($L:$L,254),TRIM(INDEX($D:$D,254)&amp;" "&amp;INDEX($C:$C,254))))</f>
        <v/>
      </c>
      <c r="AQ254" s="43" t="str">
        <f aca="false">IF(OR(AI254="",INDEX($I:$I,254)="Yes"),"",1)</f>
        <v/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customFormat="false" ht="21.75" hidden="false" customHeight="true" outlineLevel="0" collapsed="false">
      <c r="A255" s="1"/>
      <c r="B255" s="113" t="str">
        <f aca="false">IF(AI255="","",COUNT($AI$7:AI255))</f>
        <v/>
      </c>
      <c r="C255" s="114"/>
      <c r="D255" s="114"/>
      <c r="E255" s="114"/>
      <c r="F255" s="114"/>
      <c r="G255" s="115"/>
      <c r="H255" s="115"/>
      <c r="I255" s="115"/>
      <c r="J255" s="115"/>
      <c r="K255" s="115"/>
      <c r="L255" s="114"/>
      <c r="M255" s="114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4"/>
      <c r="Y255" s="114"/>
      <c r="Z255" s="115"/>
      <c r="AA255" s="114"/>
      <c r="AB255" s="114"/>
      <c r="AC255" s="115"/>
      <c r="AD255" s="116"/>
      <c r="AE255" s="114"/>
      <c r="AF255" s="114"/>
      <c r="AG255" s="114"/>
      <c r="AH255" s="1"/>
      <c r="AI255" s="95" t="str">
        <f aca="false">IF(INDEX($C:$C,255)&amp;INDEX($D:$D,255)="","",1)</f>
        <v/>
      </c>
      <c r="AJ255" s="95" t="str">
        <f aca="false">IF(OR(AI255="",INDEX($Z:$Z,255)="",INDEX($U:$U,255)="Declined"),"",1)</f>
        <v/>
      </c>
      <c r="AK255" s="95" t="str">
        <f aca="false">IF(AJ255="","",INDEX($Z:$Z,255)&amp;"-"&amp;COUNTIFS($Z$7:Z255,INDEX($Z:$Z,255),$AJ$7:AJ255,1))</f>
        <v/>
      </c>
      <c r="AL255" s="43" t="str">
        <f aca="false">IF(AI255="","",TRIM(INDEX($D:$D,255)&amp;" "&amp;INDEX($C:$C,255))&amp;IF(INDEX($I:$I,255)="Yes"," (child)",""))</f>
        <v/>
      </c>
      <c r="AM255" s="95" t="str">
        <f aca="false">IF(OR(AI255="",INDEX($X:$X,255)="",INDEX($U:$U,255)="Declined"),"",COUNTIFS($X$7:X255,"?*",$U$7:U255,"&lt;&gt;Declined",$AI$7:AI255,1))</f>
        <v/>
      </c>
      <c r="AN255" s="95" t="str">
        <f aca="false">IF(AI255="","",IF(INDEX($L:$L,255)="",1,IF(COUNTIF($L$7:L255,INDEX($L:$L,255))=1,1,"")))</f>
        <v/>
      </c>
      <c r="AO255" s="95" t="str">
        <f aca="false">IF(AN255&lt;&gt;1,"",IF(INDEX($L:$L,255)="",IF(INDEX($S:$S,255)="Yes",1,""),IF(COUNTIFS($L$7:$L$506,INDEX($L:$L,255),$S$7:$S$506,"Yes")&gt;0,1,"")))</f>
        <v/>
      </c>
      <c r="AP255" s="95" t="str">
        <f aca="false">IF(AN255&lt;&gt;1,"",IF(INDEX($L:$L,255)&lt;&gt;"",INDEX($L:$L,255),TRIM(INDEX($D:$D,255)&amp;" "&amp;INDEX($C:$C,255))))</f>
        <v/>
      </c>
      <c r="AQ255" s="43" t="str">
        <f aca="false">IF(OR(AI255="",INDEX($I:$I,255)="Yes"),"",1)</f>
        <v/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customFormat="false" ht="21.75" hidden="false" customHeight="true" outlineLevel="0" collapsed="false">
      <c r="A256" s="1"/>
      <c r="B256" s="113" t="str">
        <f aca="false">IF(AI256="","",COUNT($AI$7:AI256))</f>
        <v/>
      </c>
      <c r="C256" s="114"/>
      <c r="D256" s="114"/>
      <c r="E256" s="114"/>
      <c r="F256" s="114"/>
      <c r="G256" s="115"/>
      <c r="H256" s="115"/>
      <c r="I256" s="115"/>
      <c r="J256" s="115"/>
      <c r="K256" s="115"/>
      <c r="L256" s="114"/>
      <c r="M256" s="114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4"/>
      <c r="Y256" s="114"/>
      <c r="Z256" s="115"/>
      <c r="AA256" s="114"/>
      <c r="AB256" s="114"/>
      <c r="AC256" s="115"/>
      <c r="AD256" s="116"/>
      <c r="AE256" s="114"/>
      <c r="AF256" s="114"/>
      <c r="AG256" s="114"/>
      <c r="AH256" s="1"/>
      <c r="AI256" s="95" t="str">
        <f aca="false">IF(INDEX($C:$C,256)&amp;INDEX($D:$D,256)="","",1)</f>
        <v/>
      </c>
      <c r="AJ256" s="95" t="str">
        <f aca="false">IF(OR(AI256="",INDEX($Z:$Z,256)="",INDEX($U:$U,256)="Declined"),"",1)</f>
        <v/>
      </c>
      <c r="AK256" s="95" t="str">
        <f aca="false">IF(AJ256="","",INDEX($Z:$Z,256)&amp;"-"&amp;COUNTIFS($Z$7:Z256,INDEX($Z:$Z,256),$AJ$7:AJ256,1))</f>
        <v/>
      </c>
      <c r="AL256" s="43" t="str">
        <f aca="false">IF(AI256="","",TRIM(INDEX($D:$D,256)&amp;" "&amp;INDEX($C:$C,256))&amp;IF(INDEX($I:$I,256)="Yes"," (child)",""))</f>
        <v/>
      </c>
      <c r="AM256" s="95" t="str">
        <f aca="false">IF(OR(AI256="",INDEX($X:$X,256)="",INDEX($U:$U,256)="Declined"),"",COUNTIFS($X$7:X256,"?*",$U$7:U256,"&lt;&gt;Declined",$AI$7:AI256,1))</f>
        <v/>
      </c>
      <c r="AN256" s="95" t="str">
        <f aca="false">IF(AI256="","",IF(INDEX($L:$L,256)="",1,IF(COUNTIF($L$7:L256,INDEX($L:$L,256))=1,1,"")))</f>
        <v/>
      </c>
      <c r="AO256" s="95" t="str">
        <f aca="false">IF(AN256&lt;&gt;1,"",IF(INDEX($L:$L,256)="",IF(INDEX($S:$S,256)="Yes",1,""),IF(COUNTIFS($L$7:$L$506,INDEX($L:$L,256),$S$7:$S$506,"Yes")&gt;0,1,"")))</f>
        <v/>
      </c>
      <c r="AP256" s="95" t="str">
        <f aca="false">IF(AN256&lt;&gt;1,"",IF(INDEX($L:$L,256)&lt;&gt;"",INDEX($L:$L,256),TRIM(INDEX($D:$D,256)&amp;" "&amp;INDEX($C:$C,256))))</f>
        <v/>
      </c>
      <c r="AQ256" s="43" t="str">
        <f aca="false">IF(OR(AI256="",INDEX($I:$I,256)="Yes"),"",1)</f>
        <v/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customFormat="false" ht="21.75" hidden="false" customHeight="true" outlineLevel="0" collapsed="false">
      <c r="A257" s="1"/>
      <c r="B257" s="113" t="str">
        <f aca="false">IF(AI257="","",COUNT($AI$7:AI257))</f>
        <v/>
      </c>
      <c r="C257" s="114"/>
      <c r="D257" s="114"/>
      <c r="E257" s="114"/>
      <c r="F257" s="114"/>
      <c r="G257" s="115"/>
      <c r="H257" s="115"/>
      <c r="I257" s="115"/>
      <c r="J257" s="115"/>
      <c r="K257" s="115"/>
      <c r="L257" s="114"/>
      <c r="M257" s="114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4"/>
      <c r="Y257" s="114"/>
      <c r="Z257" s="115"/>
      <c r="AA257" s="114"/>
      <c r="AB257" s="114"/>
      <c r="AC257" s="115"/>
      <c r="AD257" s="116"/>
      <c r="AE257" s="114"/>
      <c r="AF257" s="114"/>
      <c r="AG257" s="114"/>
      <c r="AH257" s="1"/>
      <c r="AI257" s="95" t="str">
        <f aca="false">IF(INDEX($C:$C,257)&amp;INDEX($D:$D,257)="","",1)</f>
        <v/>
      </c>
      <c r="AJ257" s="95" t="str">
        <f aca="false">IF(OR(AI257="",INDEX($Z:$Z,257)="",INDEX($U:$U,257)="Declined"),"",1)</f>
        <v/>
      </c>
      <c r="AK257" s="95" t="str">
        <f aca="false">IF(AJ257="","",INDEX($Z:$Z,257)&amp;"-"&amp;COUNTIFS($Z$7:Z257,INDEX($Z:$Z,257),$AJ$7:AJ257,1))</f>
        <v/>
      </c>
      <c r="AL257" s="43" t="str">
        <f aca="false">IF(AI257="","",TRIM(INDEX($D:$D,257)&amp;" "&amp;INDEX($C:$C,257))&amp;IF(INDEX($I:$I,257)="Yes"," (child)",""))</f>
        <v/>
      </c>
      <c r="AM257" s="95" t="str">
        <f aca="false">IF(OR(AI257="",INDEX($X:$X,257)="",INDEX($U:$U,257)="Declined"),"",COUNTIFS($X$7:X257,"?*",$U$7:U257,"&lt;&gt;Declined",$AI$7:AI257,1))</f>
        <v/>
      </c>
      <c r="AN257" s="95" t="str">
        <f aca="false">IF(AI257="","",IF(INDEX($L:$L,257)="",1,IF(COUNTIF($L$7:L257,INDEX($L:$L,257))=1,1,"")))</f>
        <v/>
      </c>
      <c r="AO257" s="95" t="str">
        <f aca="false">IF(AN257&lt;&gt;1,"",IF(INDEX($L:$L,257)="",IF(INDEX($S:$S,257)="Yes",1,""),IF(COUNTIFS($L$7:$L$506,INDEX($L:$L,257),$S$7:$S$506,"Yes")&gt;0,1,"")))</f>
        <v/>
      </c>
      <c r="AP257" s="95" t="str">
        <f aca="false">IF(AN257&lt;&gt;1,"",IF(INDEX($L:$L,257)&lt;&gt;"",INDEX($L:$L,257),TRIM(INDEX($D:$D,257)&amp;" "&amp;INDEX($C:$C,257))))</f>
        <v/>
      </c>
      <c r="AQ257" s="43" t="str">
        <f aca="false">IF(OR(AI257="",INDEX($I:$I,257)="Yes"),"",1)</f>
        <v/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customFormat="false" ht="21.75" hidden="false" customHeight="true" outlineLevel="0" collapsed="false">
      <c r="A258" s="1"/>
      <c r="B258" s="113" t="str">
        <f aca="false">IF(AI258="","",COUNT($AI$7:AI258))</f>
        <v/>
      </c>
      <c r="C258" s="114"/>
      <c r="D258" s="114"/>
      <c r="E258" s="114"/>
      <c r="F258" s="114"/>
      <c r="G258" s="115"/>
      <c r="H258" s="115"/>
      <c r="I258" s="115"/>
      <c r="J258" s="115"/>
      <c r="K258" s="115"/>
      <c r="L258" s="114"/>
      <c r="M258" s="114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4"/>
      <c r="Y258" s="114"/>
      <c r="Z258" s="115"/>
      <c r="AA258" s="114"/>
      <c r="AB258" s="114"/>
      <c r="AC258" s="115"/>
      <c r="AD258" s="116"/>
      <c r="AE258" s="114"/>
      <c r="AF258" s="114"/>
      <c r="AG258" s="114"/>
      <c r="AH258" s="1"/>
      <c r="AI258" s="95" t="str">
        <f aca="false">IF(INDEX($C:$C,258)&amp;INDEX($D:$D,258)="","",1)</f>
        <v/>
      </c>
      <c r="AJ258" s="95" t="str">
        <f aca="false">IF(OR(AI258="",INDEX($Z:$Z,258)="",INDEX($U:$U,258)="Declined"),"",1)</f>
        <v/>
      </c>
      <c r="AK258" s="95" t="str">
        <f aca="false">IF(AJ258="","",INDEX($Z:$Z,258)&amp;"-"&amp;COUNTIFS($Z$7:Z258,INDEX($Z:$Z,258),$AJ$7:AJ258,1))</f>
        <v/>
      </c>
      <c r="AL258" s="43" t="str">
        <f aca="false">IF(AI258="","",TRIM(INDEX($D:$D,258)&amp;" "&amp;INDEX($C:$C,258))&amp;IF(INDEX($I:$I,258)="Yes"," (child)",""))</f>
        <v/>
      </c>
      <c r="AM258" s="95" t="str">
        <f aca="false">IF(OR(AI258="",INDEX($X:$X,258)="",INDEX($U:$U,258)="Declined"),"",COUNTIFS($X$7:X258,"?*",$U$7:U258,"&lt;&gt;Declined",$AI$7:AI258,1))</f>
        <v/>
      </c>
      <c r="AN258" s="95" t="str">
        <f aca="false">IF(AI258="","",IF(INDEX($L:$L,258)="",1,IF(COUNTIF($L$7:L258,INDEX($L:$L,258))=1,1,"")))</f>
        <v/>
      </c>
      <c r="AO258" s="95" t="str">
        <f aca="false">IF(AN258&lt;&gt;1,"",IF(INDEX($L:$L,258)="",IF(INDEX($S:$S,258)="Yes",1,""),IF(COUNTIFS($L$7:$L$506,INDEX($L:$L,258),$S$7:$S$506,"Yes")&gt;0,1,"")))</f>
        <v/>
      </c>
      <c r="AP258" s="95" t="str">
        <f aca="false">IF(AN258&lt;&gt;1,"",IF(INDEX($L:$L,258)&lt;&gt;"",INDEX($L:$L,258),TRIM(INDEX($D:$D,258)&amp;" "&amp;INDEX($C:$C,258))))</f>
        <v/>
      </c>
      <c r="AQ258" s="43" t="str">
        <f aca="false">IF(OR(AI258="",INDEX($I:$I,258)="Yes"),"",1)</f>
        <v/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customFormat="false" ht="21.75" hidden="false" customHeight="true" outlineLevel="0" collapsed="false">
      <c r="A259" s="1"/>
      <c r="B259" s="113" t="str">
        <f aca="false">IF(AI259="","",COUNT($AI$7:AI259))</f>
        <v/>
      </c>
      <c r="C259" s="114"/>
      <c r="D259" s="114"/>
      <c r="E259" s="114"/>
      <c r="F259" s="114"/>
      <c r="G259" s="115"/>
      <c r="H259" s="115"/>
      <c r="I259" s="115"/>
      <c r="J259" s="115"/>
      <c r="K259" s="115"/>
      <c r="L259" s="114"/>
      <c r="M259" s="114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4"/>
      <c r="Y259" s="114"/>
      <c r="Z259" s="115"/>
      <c r="AA259" s="114"/>
      <c r="AB259" s="114"/>
      <c r="AC259" s="115"/>
      <c r="AD259" s="116"/>
      <c r="AE259" s="114"/>
      <c r="AF259" s="114"/>
      <c r="AG259" s="114"/>
      <c r="AH259" s="1"/>
      <c r="AI259" s="95" t="str">
        <f aca="false">IF(INDEX($C:$C,259)&amp;INDEX($D:$D,259)="","",1)</f>
        <v/>
      </c>
      <c r="AJ259" s="95" t="str">
        <f aca="false">IF(OR(AI259="",INDEX($Z:$Z,259)="",INDEX($U:$U,259)="Declined"),"",1)</f>
        <v/>
      </c>
      <c r="AK259" s="95" t="str">
        <f aca="false">IF(AJ259="","",INDEX($Z:$Z,259)&amp;"-"&amp;COUNTIFS($Z$7:Z259,INDEX($Z:$Z,259),$AJ$7:AJ259,1))</f>
        <v/>
      </c>
      <c r="AL259" s="43" t="str">
        <f aca="false">IF(AI259="","",TRIM(INDEX($D:$D,259)&amp;" "&amp;INDEX($C:$C,259))&amp;IF(INDEX($I:$I,259)="Yes"," (child)",""))</f>
        <v/>
      </c>
      <c r="AM259" s="95" t="str">
        <f aca="false">IF(OR(AI259="",INDEX($X:$X,259)="",INDEX($U:$U,259)="Declined"),"",COUNTIFS($X$7:X259,"?*",$U$7:U259,"&lt;&gt;Declined",$AI$7:AI259,1))</f>
        <v/>
      </c>
      <c r="AN259" s="95" t="str">
        <f aca="false">IF(AI259="","",IF(INDEX($L:$L,259)="",1,IF(COUNTIF($L$7:L259,INDEX($L:$L,259))=1,1,"")))</f>
        <v/>
      </c>
      <c r="AO259" s="95" t="str">
        <f aca="false">IF(AN259&lt;&gt;1,"",IF(INDEX($L:$L,259)="",IF(INDEX($S:$S,259)="Yes",1,""),IF(COUNTIFS($L$7:$L$506,INDEX($L:$L,259),$S$7:$S$506,"Yes")&gt;0,1,"")))</f>
        <v/>
      </c>
      <c r="AP259" s="95" t="str">
        <f aca="false">IF(AN259&lt;&gt;1,"",IF(INDEX($L:$L,259)&lt;&gt;"",INDEX($L:$L,259),TRIM(INDEX($D:$D,259)&amp;" "&amp;INDEX($C:$C,259))))</f>
        <v/>
      </c>
      <c r="AQ259" s="43" t="str">
        <f aca="false">IF(OR(AI259="",INDEX($I:$I,259)="Yes"),"",1)</f>
        <v/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customFormat="false" ht="21.75" hidden="false" customHeight="true" outlineLevel="0" collapsed="false">
      <c r="A260" s="1"/>
      <c r="B260" s="113" t="str">
        <f aca="false">IF(AI260="","",COUNT($AI$7:AI260))</f>
        <v/>
      </c>
      <c r="C260" s="114"/>
      <c r="D260" s="114"/>
      <c r="E260" s="114"/>
      <c r="F260" s="114"/>
      <c r="G260" s="115"/>
      <c r="H260" s="115"/>
      <c r="I260" s="115"/>
      <c r="J260" s="115"/>
      <c r="K260" s="115"/>
      <c r="L260" s="114"/>
      <c r="M260" s="114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4"/>
      <c r="Y260" s="114"/>
      <c r="Z260" s="115"/>
      <c r="AA260" s="114"/>
      <c r="AB260" s="114"/>
      <c r="AC260" s="115"/>
      <c r="AD260" s="116"/>
      <c r="AE260" s="114"/>
      <c r="AF260" s="114"/>
      <c r="AG260" s="114"/>
      <c r="AH260" s="1"/>
      <c r="AI260" s="95" t="str">
        <f aca="false">IF(INDEX($C:$C,260)&amp;INDEX($D:$D,260)="","",1)</f>
        <v/>
      </c>
      <c r="AJ260" s="95" t="str">
        <f aca="false">IF(OR(AI260="",INDEX($Z:$Z,260)="",INDEX($U:$U,260)="Declined"),"",1)</f>
        <v/>
      </c>
      <c r="AK260" s="95" t="str">
        <f aca="false">IF(AJ260="","",INDEX($Z:$Z,260)&amp;"-"&amp;COUNTIFS($Z$7:Z260,INDEX($Z:$Z,260),$AJ$7:AJ260,1))</f>
        <v/>
      </c>
      <c r="AL260" s="43" t="str">
        <f aca="false">IF(AI260="","",TRIM(INDEX($D:$D,260)&amp;" "&amp;INDEX($C:$C,260))&amp;IF(INDEX($I:$I,260)="Yes"," (child)",""))</f>
        <v/>
      </c>
      <c r="AM260" s="95" t="str">
        <f aca="false">IF(OR(AI260="",INDEX($X:$X,260)="",INDEX($U:$U,260)="Declined"),"",COUNTIFS($X$7:X260,"?*",$U$7:U260,"&lt;&gt;Declined",$AI$7:AI260,1))</f>
        <v/>
      </c>
      <c r="AN260" s="95" t="str">
        <f aca="false">IF(AI260="","",IF(INDEX($L:$L,260)="",1,IF(COUNTIF($L$7:L260,INDEX($L:$L,260))=1,1,"")))</f>
        <v/>
      </c>
      <c r="AO260" s="95" t="str">
        <f aca="false">IF(AN260&lt;&gt;1,"",IF(INDEX($L:$L,260)="",IF(INDEX($S:$S,260)="Yes",1,""),IF(COUNTIFS($L$7:$L$506,INDEX($L:$L,260),$S$7:$S$506,"Yes")&gt;0,1,"")))</f>
        <v/>
      </c>
      <c r="AP260" s="95" t="str">
        <f aca="false">IF(AN260&lt;&gt;1,"",IF(INDEX($L:$L,260)&lt;&gt;"",INDEX($L:$L,260),TRIM(INDEX($D:$D,260)&amp;" "&amp;INDEX($C:$C,260))))</f>
        <v/>
      </c>
      <c r="AQ260" s="43" t="str">
        <f aca="false">IF(OR(AI260="",INDEX($I:$I,260)="Yes"),"",1)</f>
        <v/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customFormat="false" ht="21.75" hidden="false" customHeight="true" outlineLevel="0" collapsed="false">
      <c r="A261" s="1"/>
      <c r="B261" s="113" t="str">
        <f aca="false">IF(AI261="","",COUNT($AI$7:AI261))</f>
        <v/>
      </c>
      <c r="C261" s="114"/>
      <c r="D261" s="114"/>
      <c r="E261" s="114"/>
      <c r="F261" s="114"/>
      <c r="G261" s="115"/>
      <c r="H261" s="115"/>
      <c r="I261" s="115"/>
      <c r="J261" s="115"/>
      <c r="K261" s="115"/>
      <c r="L261" s="114"/>
      <c r="M261" s="114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4"/>
      <c r="Y261" s="114"/>
      <c r="Z261" s="115"/>
      <c r="AA261" s="114"/>
      <c r="AB261" s="114"/>
      <c r="AC261" s="115"/>
      <c r="AD261" s="116"/>
      <c r="AE261" s="114"/>
      <c r="AF261" s="114"/>
      <c r="AG261" s="114"/>
      <c r="AH261" s="1"/>
      <c r="AI261" s="95" t="str">
        <f aca="false">IF(INDEX($C:$C,261)&amp;INDEX($D:$D,261)="","",1)</f>
        <v/>
      </c>
      <c r="AJ261" s="95" t="str">
        <f aca="false">IF(OR(AI261="",INDEX($Z:$Z,261)="",INDEX($U:$U,261)="Declined"),"",1)</f>
        <v/>
      </c>
      <c r="AK261" s="95" t="str">
        <f aca="false">IF(AJ261="","",INDEX($Z:$Z,261)&amp;"-"&amp;COUNTIFS($Z$7:Z261,INDEX($Z:$Z,261),$AJ$7:AJ261,1))</f>
        <v/>
      </c>
      <c r="AL261" s="43" t="str">
        <f aca="false">IF(AI261="","",TRIM(INDEX($D:$D,261)&amp;" "&amp;INDEX($C:$C,261))&amp;IF(INDEX($I:$I,261)="Yes"," (child)",""))</f>
        <v/>
      </c>
      <c r="AM261" s="95" t="str">
        <f aca="false">IF(OR(AI261="",INDEX($X:$X,261)="",INDEX($U:$U,261)="Declined"),"",COUNTIFS($X$7:X261,"?*",$U$7:U261,"&lt;&gt;Declined",$AI$7:AI261,1))</f>
        <v/>
      </c>
      <c r="AN261" s="95" t="str">
        <f aca="false">IF(AI261="","",IF(INDEX($L:$L,261)="",1,IF(COUNTIF($L$7:L261,INDEX($L:$L,261))=1,1,"")))</f>
        <v/>
      </c>
      <c r="AO261" s="95" t="str">
        <f aca="false">IF(AN261&lt;&gt;1,"",IF(INDEX($L:$L,261)="",IF(INDEX($S:$S,261)="Yes",1,""),IF(COUNTIFS($L$7:$L$506,INDEX($L:$L,261),$S$7:$S$506,"Yes")&gt;0,1,"")))</f>
        <v/>
      </c>
      <c r="AP261" s="95" t="str">
        <f aca="false">IF(AN261&lt;&gt;1,"",IF(INDEX($L:$L,261)&lt;&gt;"",INDEX($L:$L,261),TRIM(INDEX($D:$D,261)&amp;" "&amp;INDEX($C:$C,261))))</f>
        <v/>
      </c>
      <c r="AQ261" s="43" t="str">
        <f aca="false">IF(OR(AI261="",INDEX($I:$I,261)="Yes"),"",1)</f>
        <v/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customFormat="false" ht="21.75" hidden="false" customHeight="true" outlineLevel="0" collapsed="false">
      <c r="A262" s="1"/>
      <c r="B262" s="113" t="str">
        <f aca="false">IF(AI262="","",COUNT($AI$7:AI262))</f>
        <v/>
      </c>
      <c r="C262" s="114"/>
      <c r="D262" s="114"/>
      <c r="E262" s="114"/>
      <c r="F262" s="114"/>
      <c r="G262" s="115"/>
      <c r="H262" s="115"/>
      <c r="I262" s="115"/>
      <c r="J262" s="115"/>
      <c r="K262" s="115"/>
      <c r="L262" s="114"/>
      <c r="M262" s="114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4"/>
      <c r="Y262" s="114"/>
      <c r="Z262" s="115"/>
      <c r="AA262" s="114"/>
      <c r="AB262" s="114"/>
      <c r="AC262" s="115"/>
      <c r="AD262" s="116"/>
      <c r="AE262" s="114"/>
      <c r="AF262" s="114"/>
      <c r="AG262" s="114"/>
      <c r="AH262" s="1"/>
      <c r="AI262" s="95" t="str">
        <f aca="false">IF(INDEX($C:$C,262)&amp;INDEX($D:$D,262)="","",1)</f>
        <v/>
      </c>
      <c r="AJ262" s="95" t="str">
        <f aca="false">IF(OR(AI262="",INDEX($Z:$Z,262)="",INDEX($U:$U,262)="Declined"),"",1)</f>
        <v/>
      </c>
      <c r="AK262" s="95" t="str">
        <f aca="false">IF(AJ262="","",INDEX($Z:$Z,262)&amp;"-"&amp;COUNTIFS($Z$7:Z262,INDEX($Z:$Z,262),$AJ$7:AJ262,1))</f>
        <v/>
      </c>
      <c r="AL262" s="43" t="str">
        <f aca="false">IF(AI262="","",TRIM(INDEX($D:$D,262)&amp;" "&amp;INDEX($C:$C,262))&amp;IF(INDEX($I:$I,262)="Yes"," (child)",""))</f>
        <v/>
      </c>
      <c r="AM262" s="95" t="str">
        <f aca="false">IF(OR(AI262="",INDEX($X:$X,262)="",INDEX($U:$U,262)="Declined"),"",COUNTIFS($X$7:X262,"?*",$U$7:U262,"&lt;&gt;Declined",$AI$7:AI262,1))</f>
        <v/>
      </c>
      <c r="AN262" s="95" t="str">
        <f aca="false">IF(AI262="","",IF(INDEX($L:$L,262)="",1,IF(COUNTIF($L$7:L262,INDEX($L:$L,262))=1,1,"")))</f>
        <v/>
      </c>
      <c r="AO262" s="95" t="str">
        <f aca="false">IF(AN262&lt;&gt;1,"",IF(INDEX($L:$L,262)="",IF(INDEX($S:$S,262)="Yes",1,""),IF(COUNTIFS($L$7:$L$506,INDEX($L:$L,262),$S$7:$S$506,"Yes")&gt;0,1,"")))</f>
        <v/>
      </c>
      <c r="AP262" s="95" t="str">
        <f aca="false">IF(AN262&lt;&gt;1,"",IF(INDEX($L:$L,262)&lt;&gt;"",INDEX($L:$L,262),TRIM(INDEX($D:$D,262)&amp;" "&amp;INDEX($C:$C,262))))</f>
        <v/>
      </c>
      <c r="AQ262" s="43" t="str">
        <f aca="false">IF(OR(AI262="",INDEX($I:$I,262)="Yes"),"",1)</f>
        <v/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customFormat="false" ht="21.75" hidden="false" customHeight="true" outlineLevel="0" collapsed="false">
      <c r="A263" s="1"/>
      <c r="B263" s="113" t="str">
        <f aca="false">IF(AI263="","",COUNT($AI$7:AI263))</f>
        <v/>
      </c>
      <c r="C263" s="114"/>
      <c r="D263" s="114"/>
      <c r="E263" s="114"/>
      <c r="F263" s="114"/>
      <c r="G263" s="115"/>
      <c r="H263" s="115"/>
      <c r="I263" s="115"/>
      <c r="J263" s="115"/>
      <c r="K263" s="115"/>
      <c r="L263" s="114"/>
      <c r="M263" s="114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4"/>
      <c r="Y263" s="114"/>
      <c r="Z263" s="115"/>
      <c r="AA263" s="114"/>
      <c r="AB263" s="114"/>
      <c r="AC263" s="115"/>
      <c r="AD263" s="116"/>
      <c r="AE263" s="114"/>
      <c r="AF263" s="114"/>
      <c r="AG263" s="114"/>
      <c r="AH263" s="1"/>
      <c r="AI263" s="95" t="str">
        <f aca="false">IF(INDEX($C:$C,263)&amp;INDEX($D:$D,263)="","",1)</f>
        <v/>
      </c>
      <c r="AJ263" s="95" t="str">
        <f aca="false">IF(OR(AI263="",INDEX($Z:$Z,263)="",INDEX($U:$U,263)="Declined"),"",1)</f>
        <v/>
      </c>
      <c r="AK263" s="95" t="str">
        <f aca="false">IF(AJ263="","",INDEX($Z:$Z,263)&amp;"-"&amp;COUNTIFS($Z$7:Z263,INDEX($Z:$Z,263),$AJ$7:AJ263,1))</f>
        <v/>
      </c>
      <c r="AL263" s="43" t="str">
        <f aca="false">IF(AI263="","",TRIM(INDEX($D:$D,263)&amp;" "&amp;INDEX($C:$C,263))&amp;IF(INDEX($I:$I,263)="Yes"," (child)",""))</f>
        <v/>
      </c>
      <c r="AM263" s="95" t="str">
        <f aca="false">IF(OR(AI263="",INDEX($X:$X,263)="",INDEX($U:$U,263)="Declined"),"",COUNTIFS($X$7:X263,"?*",$U$7:U263,"&lt;&gt;Declined",$AI$7:AI263,1))</f>
        <v/>
      </c>
      <c r="AN263" s="95" t="str">
        <f aca="false">IF(AI263="","",IF(INDEX($L:$L,263)="",1,IF(COUNTIF($L$7:L263,INDEX($L:$L,263))=1,1,"")))</f>
        <v/>
      </c>
      <c r="AO263" s="95" t="str">
        <f aca="false">IF(AN263&lt;&gt;1,"",IF(INDEX($L:$L,263)="",IF(INDEX($S:$S,263)="Yes",1,""),IF(COUNTIFS($L$7:$L$506,INDEX($L:$L,263),$S$7:$S$506,"Yes")&gt;0,1,"")))</f>
        <v/>
      </c>
      <c r="AP263" s="95" t="str">
        <f aca="false">IF(AN263&lt;&gt;1,"",IF(INDEX($L:$L,263)&lt;&gt;"",INDEX($L:$L,263),TRIM(INDEX($D:$D,263)&amp;" "&amp;INDEX($C:$C,263))))</f>
        <v/>
      </c>
      <c r="AQ263" s="43" t="str">
        <f aca="false">IF(OR(AI263="",INDEX($I:$I,263)="Yes"),"",1)</f>
        <v/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customFormat="false" ht="21.75" hidden="false" customHeight="true" outlineLevel="0" collapsed="false">
      <c r="A264" s="1"/>
      <c r="B264" s="113" t="str">
        <f aca="false">IF(AI264="","",COUNT($AI$7:AI264))</f>
        <v/>
      </c>
      <c r="C264" s="114"/>
      <c r="D264" s="114"/>
      <c r="E264" s="114"/>
      <c r="F264" s="114"/>
      <c r="G264" s="115"/>
      <c r="H264" s="115"/>
      <c r="I264" s="115"/>
      <c r="J264" s="115"/>
      <c r="K264" s="115"/>
      <c r="L264" s="114"/>
      <c r="M264" s="114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4"/>
      <c r="Y264" s="114"/>
      <c r="Z264" s="115"/>
      <c r="AA264" s="114"/>
      <c r="AB264" s="114"/>
      <c r="AC264" s="115"/>
      <c r="AD264" s="116"/>
      <c r="AE264" s="114"/>
      <c r="AF264" s="114"/>
      <c r="AG264" s="114"/>
      <c r="AH264" s="1"/>
      <c r="AI264" s="95" t="str">
        <f aca="false">IF(INDEX($C:$C,264)&amp;INDEX($D:$D,264)="","",1)</f>
        <v/>
      </c>
      <c r="AJ264" s="95" t="str">
        <f aca="false">IF(OR(AI264="",INDEX($Z:$Z,264)="",INDEX($U:$U,264)="Declined"),"",1)</f>
        <v/>
      </c>
      <c r="AK264" s="95" t="str">
        <f aca="false">IF(AJ264="","",INDEX($Z:$Z,264)&amp;"-"&amp;COUNTIFS($Z$7:Z264,INDEX($Z:$Z,264),$AJ$7:AJ264,1))</f>
        <v/>
      </c>
      <c r="AL264" s="43" t="str">
        <f aca="false">IF(AI264="","",TRIM(INDEX($D:$D,264)&amp;" "&amp;INDEX($C:$C,264))&amp;IF(INDEX($I:$I,264)="Yes"," (child)",""))</f>
        <v/>
      </c>
      <c r="AM264" s="95" t="str">
        <f aca="false">IF(OR(AI264="",INDEX($X:$X,264)="",INDEX($U:$U,264)="Declined"),"",COUNTIFS($X$7:X264,"?*",$U$7:U264,"&lt;&gt;Declined",$AI$7:AI264,1))</f>
        <v/>
      </c>
      <c r="AN264" s="95" t="str">
        <f aca="false">IF(AI264="","",IF(INDEX($L:$L,264)="",1,IF(COUNTIF($L$7:L264,INDEX($L:$L,264))=1,1,"")))</f>
        <v/>
      </c>
      <c r="AO264" s="95" t="str">
        <f aca="false">IF(AN264&lt;&gt;1,"",IF(INDEX($L:$L,264)="",IF(INDEX($S:$S,264)="Yes",1,""),IF(COUNTIFS($L$7:$L$506,INDEX($L:$L,264),$S$7:$S$506,"Yes")&gt;0,1,"")))</f>
        <v/>
      </c>
      <c r="AP264" s="95" t="str">
        <f aca="false">IF(AN264&lt;&gt;1,"",IF(INDEX($L:$L,264)&lt;&gt;"",INDEX($L:$L,264),TRIM(INDEX($D:$D,264)&amp;" "&amp;INDEX($C:$C,264))))</f>
        <v/>
      </c>
      <c r="AQ264" s="43" t="str">
        <f aca="false">IF(OR(AI264="",INDEX($I:$I,264)="Yes"),"",1)</f>
        <v/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customFormat="false" ht="21.75" hidden="false" customHeight="true" outlineLevel="0" collapsed="false">
      <c r="A265" s="1"/>
      <c r="B265" s="113" t="str">
        <f aca="false">IF(AI265="","",COUNT($AI$7:AI265))</f>
        <v/>
      </c>
      <c r="C265" s="114"/>
      <c r="D265" s="114"/>
      <c r="E265" s="114"/>
      <c r="F265" s="114"/>
      <c r="G265" s="115"/>
      <c r="H265" s="115"/>
      <c r="I265" s="115"/>
      <c r="J265" s="115"/>
      <c r="K265" s="115"/>
      <c r="L265" s="114"/>
      <c r="M265" s="114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4"/>
      <c r="Y265" s="114"/>
      <c r="Z265" s="115"/>
      <c r="AA265" s="114"/>
      <c r="AB265" s="114"/>
      <c r="AC265" s="115"/>
      <c r="AD265" s="116"/>
      <c r="AE265" s="114"/>
      <c r="AF265" s="114"/>
      <c r="AG265" s="114"/>
      <c r="AH265" s="1"/>
      <c r="AI265" s="95" t="str">
        <f aca="false">IF(INDEX($C:$C,265)&amp;INDEX($D:$D,265)="","",1)</f>
        <v/>
      </c>
      <c r="AJ265" s="95" t="str">
        <f aca="false">IF(OR(AI265="",INDEX($Z:$Z,265)="",INDEX($U:$U,265)="Declined"),"",1)</f>
        <v/>
      </c>
      <c r="AK265" s="95" t="str">
        <f aca="false">IF(AJ265="","",INDEX($Z:$Z,265)&amp;"-"&amp;COUNTIFS($Z$7:Z265,INDEX($Z:$Z,265),$AJ$7:AJ265,1))</f>
        <v/>
      </c>
      <c r="AL265" s="43" t="str">
        <f aca="false">IF(AI265="","",TRIM(INDEX($D:$D,265)&amp;" "&amp;INDEX($C:$C,265))&amp;IF(INDEX($I:$I,265)="Yes"," (child)",""))</f>
        <v/>
      </c>
      <c r="AM265" s="95" t="str">
        <f aca="false">IF(OR(AI265="",INDEX($X:$X,265)="",INDEX($U:$U,265)="Declined"),"",COUNTIFS($X$7:X265,"?*",$U$7:U265,"&lt;&gt;Declined",$AI$7:AI265,1))</f>
        <v/>
      </c>
      <c r="AN265" s="95" t="str">
        <f aca="false">IF(AI265="","",IF(INDEX($L:$L,265)="",1,IF(COUNTIF($L$7:L265,INDEX($L:$L,265))=1,1,"")))</f>
        <v/>
      </c>
      <c r="AO265" s="95" t="str">
        <f aca="false">IF(AN265&lt;&gt;1,"",IF(INDEX($L:$L,265)="",IF(INDEX($S:$S,265)="Yes",1,""),IF(COUNTIFS($L$7:$L$506,INDEX($L:$L,265),$S$7:$S$506,"Yes")&gt;0,1,"")))</f>
        <v/>
      </c>
      <c r="AP265" s="95" t="str">
        <f aca="false">IF(AN265&lt;&gt;1,"",IF(INDEX($L:$L,265)&lt;&gt;"",INDEX($L:$L,265),TRIM(INDEX($D:$D,265)&amp;" "&amp;INDEX($C:$C,265))))</f>
        <v/>
      </c>
      <c r="AQ265" s="43" t="str">
        <f aca="false">IF(OR(AI265="",INDEX($I:$I,265)="Yes"),"",1)</f>
        <v/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customFormat="false" ht="21.75" hidden="false" customHeight="true" outlineLevel="0" collapsed="false">
      <c r="A266" s="1"/>
      <c r="B266" s="113" t="str">
        <f aca="false">IF(AI266="","",COUNT($AI$7:AI266))</f>
        <v/>
      </c>
      <c r="C266" s="114"/>
      <c r="D266" s="114"/>
      <c r="E266" s="114"/>
      <c r="F266" s="114"/>
      <c r="G266" s="115"/>
      <c r="H266" s="115"/>
      <c r="I266" s="115"/>
      <c r="J266" s="115"/>
      <c r="K266" s="115"/>
      <c r="L266" s="114"/>
      <c r="M266" s="114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4"/>
      <c r="Y266" s="114"/>
      <c r="Z266" s="115"/>
      <c r="AA266" s="114"/>
      <c r="AB266" s="114"/>
      <c r="AC266" s="115"/>
      <c r="AD266" s="116"/>
      <c r="AE266" s="114"/>
      <c r="AF266" s="114"/>
      <c r="AG266" s="114"/>
      <c r="AH266" s="1"/>
      <c r="AI266" s="95" t="str">
        <f aca="false">IF(INDEX($C:$C,266)&amp;INDEX($D:$D,266)="","",1)</f>
        <v/>
      </c>
      <c r="AJ266" s="95" t="str">
        <f aca="false">IF(OR(AI266="",INDEX($Z:$Z,266)="",INDEX($U:$U,266)="Declined"),"",1)</f>
        <v/>
      </c>
      <c r="AK266" s="95" t="str">
        <f aca="false">IF(AJ266="","",INDEX($Z:$Z,266)&amp;"-"&amp;COUNTIFS($Z$7:Z266,INDEX($Z:$Z,266),$AJ$7:AJ266,1))</f>
        <v/>
      </c>
      <c r="AL266" s="43" t="str">
        <f aca="false">IF(AI266="","",TRIM(INDEX($D:$D,266)&amp;" "&amp;INDEX($C:$C,266))&amp;IF(INDEX($I:$I,266)="Yes"," (child)",""))</f>
        <v/>
      </c>
      <c r="AM266" s="95" t="str">
        <f aca="false">IF(OR(AI266="",INDEX($X:$X,266)="",INDEX($U:$U,266)="Declined"),"",COUNTIFS($X$7:X266,"?*",$U$7:U266,"&lt;&gt;Declined",$AI$7:AI266,1))</f>
        <v/>
      </c>
      <c r="AN266" s="95" t="str">
        <f aca="false">IF(AI266="","",IF(INDEX($L:$L,266)="",1,IF(COUNTIF($L$7:L266,INDEX($L:$L,266))=1,1,"")))</f>
        <v/>
      </c>
      <c r="AO266" s="95" t="str">
        <f aca="false">IF(AN266&lt;&gt;1,"",IF(INDEX($L:$L,266)="",IF(INDEX($S:$S,266)="Yes",1,""),IF(COUNTIFS($L$7:$L$506,INDEX($L:$L,266),$S$7:$S$506,"Yes")&gt;0,1,"")))</f>
        <v/>
      </c>
      <c r="AP266" s="95" t="str">
        <f aca="false">IF(AN266&lt;&gt;1,"",IF(INDEX($L:$L,266)&lt;&gt;"",INDEX($L:$L,266),TRIM(INDEX($D:$D,266)&amp;" "&amp;INDEX($C:$C,266))))</f>
        <v/>
      </c>
      <c r="AQ266" s="43" t="str">
        <f aca="false">IF(OR(AI266="",INDEX($I:$I,266)="Yes"),"",1)</f>
        <v/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customFormat="false" ht="21.75" hidden="false" customHeight="true" outlineLevel="0" collapsed="false">
      <c r="A267" s="1"/>
      <c r="B267" s="113" t="str">
        <f aca="false">IF(AI267="","",COUNT($AI$7:AI267))</f>
        <v/>
      </c>
      <c r="C267" s="114"/>
      <c r="D267" s="114"/>
      <c r="E267" s="114"/>
      <c r="F267" s="114"/>
      <c r="G267" s="115"/>
      <c r="H267" s="115"/>
      <c r="I267" s="115"/>
      <c r="J267" s="115"/>
      <c r="K267" s="115"/>
      <c r="L267" s="114"/>
      <c r="M267" s="114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4"/>
      <c r="Y267" s="114"/>
      <c r="Z267" s="115"/>
      <c r="AA267" s="114"/>
      <c r="AB267" s="114"/>
      <c r="AC267" s="115"/>
      <c r="AD267" s="116"/>
      <c r="AE267" s="114"/>
      <c r="AF267" s="114"/>
      <c r="AG267" s="114"/>
      <c r="AH267" s="1"/>
      <c r="AI267" s="95" t="str">
        <f aca="false">IF(INDEX($C:$C,267)&amp;INDEX($D:$D,267)="","",1)</f>
        <v/>
      </c>
      <c r="AJ267" s="95" t="str">
        <f aca="false">IF(OR(AI267="",INDEX($Z:$Z,267)="",INDEX($U:$U,267)="Declined"),"",1)</f>
        <v/>
      </c>
      <c r="AK267" s="95" t="str">
        <f aca="false">IF(AJ267="","",INDEX($Z:$Z,267)&amp;"-"&amp;COUNTIFS($Z$7:Z267,INDEX($Z:$Z,267),$AJ$7:AJ267,1))</f>
        <v/>
      </c>
      <c r="AL267" s="43" t="str">
        <f aca="false">IF(AI267="","",TRIM(INDEX($D:$D,267)&amp;" "&amp;INDEX($C:$C,267))&amp;IF(INDEX($I:$I,267)="Yes"," (child)",""))</f>
        <v/>
      </c>
      <c r="AM267" s="95" t="str">
        <f aca="false">IF(OR(AI267="",INDEX($X:$X,267)="",INDEX($U:$U,267)="Declined"),"",COUNTIFS($X$7:X267,"?*",$U$7:U267,"&lt;&gt;Declined",$AI$7:AI267,1))</f>
        <v/>
      </c>
      <c r="AN267" s="95" t="str">
        <f aca="false">IF(AI267="","",IF(INDEX($L:$L,267)="",1,IF(COUNTIF($L$7:L267,INDEX($L:$L,267))=1,1,"")))</f>
        <v/>
      </c>
      <c r="AO267" s="95" t="str">
        <f aca="false">IF(AN267&lt;&gt;1,"",IF(INDEX($L:$L,267)="",IF(INDEX($S:$S,267)="Yes",1,""),IF(COUNTIFS($L$7:$L$506,INDEX($L:$L,267),$S$7:$S$506,"Yes")&gt;0,1,"")))</f>
        <v/>
      </c>
      <c r="AP267" s="95" t="str">
        <f aca="false">IF(AN267&lt;&gt;1,"",IF(INDEX($L:$L,267)&lt;&gt;"",INDEX($L:$L,267),TRIM(INDEX($D:$D,267)&amp;" "&amp;INDEX($C:$C,267))))</f>
        <v/>
      </c>
      <c r="AQ267" s="43" t="str">
        <f aca="false">IF(OR(AI267="",INDEX($I:$I,267)="Yes"),"",1)</f>
        <v/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customFormat="false" ht="21.75" hidden="false" customHeight="true" outlineLevel="0" collapsed="false">
      <c r="A268" s="1"/>
      <c r="B268" s="113" t="str">
        <f aca="false">IF(AI268="","",COUNT($AI$7:AI268))</f>
        <v/>
      </c>
      <c r="C268" s="114"/>
      <c r="D268" s="114"/>
      <c r="E268" s="114"/>
      <c r="F268" s="114"/>
      <c r="G268" s="115"/>
      <c r="H268" s="115"/>
      <c r="I268" s="115"/>
      <c r="J268" s="115"/>
      <c r="K268" s="115"/>
      <c r="L268" s="114"/>
      <c r="M268" s="114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4"/>
      <c r="Y268" s="114"/>
      <c r="Z268" s="115"/>
      <c r="AA268" s="114"/>
      <c r="AB268" s="114"/>
      <c r="AC268" s="115"/>
      <c r="AD268" s="116"/>
      <c r="AE268" s="114"/>
      <c r="AF268" s="114"/>
      <c r="AG268" s="114"/>
      <c r="AH268" s="1"/>
      <c r="AI268" s="95" t="str">
        <f aca="false">IF(INDEX($C:$C,268)&amp;INDEX($D:$D,268)="","",1)</f>
        <v/>
      </c>
      <c r="AJ268" s="95" t="str">
        <f aca="false">IF(OR(AI268="",INDEX($Z:$Z,268)="",INDEX($U:$U,268)="Declined"),"",1)</f>
        <v/>
      </c>
      <c r="AK268" s="95" t="str">
        <f aca="false">IF(AJ268="","",INDEX($Z:$Z,268)&amp;"-"&amp;COUNTIFS($Z$7:Z268,INDEX($Z:$Z,268),$AJ$7:AJ268,1))</f>
        <v/>
      </c>
      <c r="AL268" s="43" t="str">
        <f aca="false">IF(AI268="","",TRIM(INDEX($D:$D,268)&amp;" "&amp;INDEX($C:$C,268))&amp;IF(INDEX($I:$I,268)="Yes"," (child)",""))</f>
        <v/>
      </c>
      <c r="AM268" s="95" t="str">
        <f aca="false">IF(OR(AI268="",INDEX($X:$X,268)="",INDEX($U:$U,268)="Declined"),"",COUNTIFS($X$7:X268,"?*",$U$7:U268,"&lt;&gt;Declined",$AI$7:AI268,1))</f>
        <v/>
      </c>
      <c r="AN268" s="95" t="str">
        <f aca="false">IF(AI268="","",IF(INDEX($L:$L,268)="",1,IF(COUNTIF($L$7:L268,INDEX($L:$L,268))=1,1,"")))</f>
        <v/>
      </c>
      <c r="AO268" s="95" t="str">
        <f aca="false">IF(AN268&lt;&gt;1,"",IF(INDEX($L:$L,268)="",IF(INDEX($S:$S,268)="Yes",1,""),IF(COUNTIFS($L$7:$L$506,INDEX($L:$L,268),$S$7:$S$506,"Yes")&gt;0,1,"")))</f>
        <v/>
      </c>
      <c r="AP268" s="95" t="str">
        <f aca="false">IF(AN268&lt;&gt;1,"",IF(INDEX($L:$L,268)&lt;&gt;"",INDEX($L:$L,268),TRIM(INDEX($D:$D,268)&amp;" "&amp;INDEX($C:$C,268))))</f>
        <v/>
      </c>
      <c r="AQ268" s="43" t="str">
        <f aca="false">IF(OR(AI268="",INDEX($I:$I,268)="Yes"),"",1)</f>
        <v/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customFormat="false" ht="21.75" hidden="false" customHeight="true" outlineLevel="0" collapsed="false">
      <c r="A269" s="1"/>
      <c r="B269" s="113" t="str">
        <f aca="false">IF(AI269="","",COUNT($AI$7:AI269))</f>
        <v/>
      </c>
      <c r="C269" s="114"/>
      <c r="D269" s="114"/>
      <c r="E269" s="114"/>
      <c r="F269" s="114"/>
      <c r="G269" s="115"/>
      <c r="H269" s="115"/>
      <c r="I269" s="115"/>
      <c r="J269" s="115"/>
      <c r="K269" s="115"/>
      <c r="L269" s="114"/>
      <c r="M269" s="114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4"/>
      <c r="Y269" s="114"/>
      <c r="Z269" s="115"/>
      <c r="AA269" s="114"/>
      <c r="AB269" s="114"/>
      <c r="AC269" s="115"/>
      <c r="AD269" s="116"/>
      <c r="AE269" s="114"/>
      <c r="AF269" s="114"/>
      <c r="AG269" s="114"/>
      <c r="AH269" s="1"/>
      <c r="AI269" s="95" t="str">
        <f aca="false">IF(INDEX($C:$C,269)&amp;INDEX($D:$D,269)="","",1)</f>
        <v/>
      </c>
      <c r="AJ269" s="95" t="str">
        <f aca="false">IF(OR(AI269="",INDEX($Z:$Z,269)="",INDEX($U:$U,269)="Declined"),"",1)</f>
        <v/>
      </c>
      <c r="AK269" s="95" t="str">
        <f aca="false">IF(AJ269="","",INDEX($Z:$Z,269)&amp;"-"&amp;COUNTIFS($Z$7:Z269,INDEX($Z:$Z,269),$AJ$7:AJ269,1))</f>
        <v/>
      </c>
      <c r="AL269" s="43" t="str">
        <f aca="false">IF(AI269="","",TRIM(INDEX($D:$D,269)&amp;" "&amp;INDEX($C:$C,269))&amp;IF(INDEX($I:$I,269)="Yes"," (child)",""))</f>
        <v/>
      </c>
      <c r="AM269" s="95" t="str">
        <f aca="false">IF(OR(AI269="",INDEX($X:$X,269)="",INDEX($U:$U,269)="Declined"),"",COUNTIFS($X$7:X269,"?*",$U$7:U269,"&lt;&gt;Declined",$AI$7:AI269,1))</f>
        <v/>
      </c>
      <c r="AN269" s="95" t="str">
        <f aca="false">IF(AI269="","",IF(INDEX($L:$L,269)="",1,IF(COUNTIF($L$7:L269,INDEX($L:$L,269))=1,1,"")))</f>
        <v/>
      </c>
      <c r="AO269" s="95" t="str">
        <f aca="false">IF(AN269&lt;&gt;1,"",IF(INDEX($L:$L,269)="",IF(INDEX($S:$S,269)="Yes",1,""),IF(COUNTIFS($L$7:$L$506,INDEX($L:$L,269),$S$7:$S$506,"Yes")&gt;0,1,"")))</f>
        <v/>
      </c>
      <c r="AP269" s="95" t="str">
        <f aca="false">IF(AN269&lt;&gt;1,"",IF(INDEX($L:$L,269)&lt;&gt;"",INDEX($L:$L,269),TRIM(INDEX($D:$D,269)&amp;" "&amp;INDEX($C:$C,269))))</f>
        <v/>
      </c>
      <c r="AQ269" s="43" t="str">
        <f aca="false">IF(OR(AI269="",INDEX($I:$I,269)="Yes"),"",1)</f>
        <v/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customFormat="false" ht="21.75" hidden="false" customHeight="true" outlineLevel="0" collapsed="false">
      <c r="A270" s="1"/>
      <c r="B270" s="113" t="str">
        <f aca="false">IF(AI270="","",COUNT($AI$7:AI270))</f>
        <v/>
      </c>
      <c r="C270" s="114"/>
      <c r="D270" s="114"/>
      <c r="E270" s="114"/>
      <c r="F270" s="114"/>
      <c r="G270" s="115"/>
      <c r="H270" s="115"/>
      <c r="I270" s="115"/>
      <c r="J270" s="115"/>
      <c r="K270" s="115"/>
      <c r="L270" s="114"/>
      <c r="M270" s="114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4"/>
      <c r="Y270" s="114"/>
      <c r="Z270" s="115"/>
      <c r="AA270" s="114"/>
      <c r="AB270" s="114"/>
      <c r="AC270" s="115"/>
      <c r="AD270" s="116"/>
      <c r="AE270" s="114"/>
      <c r="AF270" s="114"/>
      <c r="AG270" s="114"/>
      <c r="AH270" s="1"/>
      <c r="AI270" s="95" t="str">
        <f aca="false">IF(INDEX($C:$C,270)&amp;INDEX($D:$D,270)="","",1)</f>
        <v/>
      </c>
      <c r="AJ270" s="95" t="str">
        <f aca="false">IF(OR(AI270="",INDEX($Z:$Z,270)="",INDEX($U:$U,270)="Declined"),"",1)</f>
        <v/>
      </c>
      <c r="AK270" s="95" t="str">
        <f aca="false">IF(AJ270="","",INDEX($Z:$Z,270)&amp;"-"&amp;COUNTIFS($Z$7:Z270,INDEX($Z:$Z,270),$AJ$7:AJ270,1))</f>
        <v/>
      </c>
      <c r="AL270" s="43" t="str">
        <f aca="false">IF(AI270="","",TRIM(INDEX($D:$D,270)&amp;" "&amp;INDEX($C:$C,270))&amp;IF(INDEX($I:$I,270)="Yes"," (child)",""))</f>
        <v/>
      </c>
      <c r="AM270" s="95" t="str">
        <f aca="false">IF(OR(AI270="",INDEX($X:$X,270)="",INDEX($U:$U,270)="Declined"),"",COUNTIFS($X$7:X270,"?*",$U$7:U270,"&lt;&gt;Declined",$AI$7:AI270,1))</f>
        <v/>
      </c>
      <c r="AN270" s="95" t="str">
        <f aca="false">IF(AI270="","",IF(INDEX($L:$L,270)="",1,IF(COUNTIF($L$7:L270,INDEX($L:$L,270))=1,1,"")))</f>
        <v/>
      </c>
      <c r="AO270" s="95" t="str">
        <f aca="false">IF(AN270&lt;&gt;1,"",IF(INDEX($L:$L,270)="",IF(INDEX($S:$S,270)="Yes",1,""),IF(COUNTIFS($L$7:$L$506,INDEX($L:$L,270),$S$7:$S$506,"Yes")&gt;0,1,"")))</f>
        <v/>
      </c>
      <c r="AP270" s="95" t="str">
        <f aca="false">IF(AN270&lt;&gt;1,"",IF(INDEX($L:$L,270)&lt;&gt;"",INDEX($L:$L,270),TRIM(INDEX($D:$D,270)&amp;" "&amp;INDEX($C:$C,270))))</f>
        <v/>
      </c>
      <c r="AQ270" s="43" t="str">
        <f aca="false">IF(OR(AI270="",INDEX($I:$I,270)="Yes"),"",1)</f>
        <v/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customFormat="false" ht="21.75" hidden="false" customHeight="true" outlineLevel="0" collapsed="false">
      <c r="A271" s="1"/>
      <c r="B271" s="113" t="str">
        <f aca="false">IF(AI271="","",COUNT($AI$7:AI271))</f>
        <v/>
      </c>
      <c r="C271" s="114"/>
      <c r="D271" s="114"/>
      <c r="E271" s="114"/>
      <c r="F271" s="114"/>
      <c r="G271" s="115"/>
      <c r="H271" s="115"/>
      <c r="I271" s="115"/>
      <c r="J271" s="115"/>
      <c r="K271" s="115"/>
      <c r="L271" s="114"/>
      <c r="M271" s="114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4"/>
      <c r="Y271" s="114"/>
      <c r="Z271" s="115"/>
      <c r="AA271" s="114"/>
      <c r="AB271" s="114"/>
      <c r="AC271" s="115"/>
      <c r="AD271" s="116"/>
      <c r="AE271" s="114"/>
      <c r="AF271" s="114"/>
      <c r="AG271" s="114"/>
      <c r="AH271" s="1"/>
      <c r="AI271" s="95" t="str">
        <f aca="false">IF(INDEX($C:$C,271)&amp;INDEX($D:$D,271)="","",1)</f>
        <v/>
      </c>
      <c r="AJ271" s="95" t="str">
        <f aca="false">IF(OR(AI271="",INDEX($Z:$Z,271)="",INDEX($U:$U,271)="Declined"),"",1)</f>
        <v/>
      </c>
      <c r="AK271" s="95" t="str">
        <f aca="false">IF(AJ271="","",INDEX($Z:$Z,271)&amp;"-"&amp;COUNTIFS($Z$7:Z271,INDEX($Z:$Z,271),$AJ$7:AJ271,1))</f>
        <v/>
      </c>
      <c r="AL271" s="43" t="str">
        <f aca="false">IF(AI271="","",TRIM(INDEX($D:$D,271)&amp;" "&amp;INDEX($C:$C,271))&amp;IF(INDEX($I:$I,271)="Yes"," (child)",""))</f>
        <v/>
      </c>
      <c r="AM271" s="95" t="str">
        <f aca="false">IF(OR(AI271="",INDEX($X:$X,271)="",INDEX($U:$U,271)="Declined"),"",COUNTIFS($X$7:X271,"?*",$U$7:U271,"&lt;&gt;Declined",$AI$7:AI271,1))</f>
        <v/>
      </c>
      <c r="AN271" s="95" t="str">
        <f aca="false">IF(AI271="","",IF(INDEX($L:$L,271)="",1,IF(COUNTIF($L$7:L271,INDEX($L:$L,271))=1,1,"")))</f>
        <v/>
      </c>
      <c r="AO271" s="95" t="str">
        <f aca="false">IF(AN271&lt;&gt;1,"",IF(INDEX($L:$L,271)="",IF(INDEX($S:$S,271)="Yes",1,""),IF(COUNTIFS($L$7:$L$506,INDEX($L:$L,271),$S$7:$S$506,"Yes")&gt;0,1,"")))</f>
        <v/>
      </c>
      <c r="AP271" s="95" t="str">
        <f aca="false">IF(AN271&lt;&gt;1,"",IF(INDEX($L:$L,271)&lt;&gt;"",INDEX($L:$L,271),TRIM(INDEX($D:$D,271)&amp;" "&amp;INDEX($C:$C,271))))</f>
        <v/>
      </c>
      <c r="AQ271" s="43" t="str">
        <f aca="false">IF(OR(AI271="",INDEX($I:$I,271)="Yes"),"",1)</f>
        <v/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customFormat="false" ht="21.75" hidden="false" customHeight="true" outlineLevel="0" collapsed="false">
      <c r="A272" s="1"/>
      <c r="B272" s="113" t="str">
        <f aca="false">IF(AI272="","",COUNT($AI$7:AI272))</f>
        <v/>
      </c>
      <c r="C272" s="114"/>
      <c r="D272" s="114"/>
      <c r="E272" s="114"/>
      <c r="F272" s="114"/>
      <c r="G272" s="115"/>
      <c r="H272" s="115"/>
      <c r="I272" s="115"/>
      <c r="J272" s="115"/>
      <c r="K272" s="115"/>
      <c r="L272" s="114"/>
      <c r="M272" s="114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4"/>
      <c r="Y272" s="114"/>
      <c r="Z272" s="115"/>
      <c r="AA272" s="114"/>
      <c r="AB272" s="114"/>
      <c r="AC272" s="115"/>
      <c r="AD272" s="116"/>
      <c r="AE272" s="114"/>
      <c r="AF272" s="114"/>
      <c r="AG272" s="114"/>
      <c r="AH272" s="1"/>
      <c r="AI272" s="95" t="str">
        <f aca="false">IF(INDEX($C:$C,272)&amp;INDEX($D:$D,272)="","",1)</f>
        <v/>
      </c>
      <c r="AJ272" s="95" t="str">
        <f aca="false">IF(OR(AI272="",INDEX($Z:$Z,272)="",INDEX($U:$U,272)="Declined"),"",1)</f>
        <v/>
      </c>
      <c r="AK272" s="95" t="str">
        <f aca="false">IF(AJ272="","",INDEX($Z:$Z,272)&amp;"-"&amp;COUNTIFS($Z$7:Z272,INDEX($Z:$Z,272),$AJ$7:AJ272,1))</f>
        <v/>
      </c>
      <c r="AL272" s="43" t="str">
        <f aca="false">IF(AI272="","",TRIM(INDEX($D:$D,272)&amp;" "&amp;INDEX($C:$C,272))&amp;IF(INDEX($I:$I,272)="Yes"," (child)",""))</f>
        <v/>
      </c>
      <c r="AM272" s="95" t="str">
        <f aca="false">IF(OR(AI272="",INDEX($X:$X,272)="",INDEX($U:$U,272)="Declined"),"",COUNTIFS($X$7:X272,"?*",$U$7:U272,"&lt;&gt;Declined",$AI$7:AI272,1))</f>
        <v/>
      </c>
      <c r="AN272" s="95" t="str">
        <f aca="false">IF(AI272="","",IF(INDEX($L:$L,272)="",1,IF(COUNTIF($L$7:L272,INDEX($L:$L,272))=1,1,"")))</f>
        <v/>
      </c>
      <c r="AO272" s="95" t="str">
        <f aca="false">IF(AN272&lt;&gt;1,"",IF(INDEX($L:$L,272)="",IF(INDEX($S:$S,272)="Yes",1,""),IF(COUNTIFS($L$7:$L$506,INDEX($L:$L,272),$S$7:$S$506,"Yes")&gt;0,1,"")))</f>
        <v/>
      </c>
      <c r="AP272" s="95" t="str">
        <f aca="false">IF(AN272&lt;&gt;1,"",IF(INDEX($L:$L,272)&lt;&gt;"",INDEX($L:$L,272),TRIM(INDEX($D:$D,272)&amp;" "&amp;INDEX($C:$C,272))))</f>
        <v/>
      </c>
      <c r="AQ272" s="43" t="str">
        <f aca="false">IF(OR(AI272="",INDEX($I:$I,272)="Yes"),"",1)</f>
        <v/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customFormat="false" ht="21.75" hidden="false" customHeight="true" outlineLevel="0" collapsed="false">
      <c r="A273" s="1"/>
      <c r="B273" s="113" t="str">
        <f aca="false">IF(AI273="","",COUNT($AI$7:AI273))</f>
        <v/>
      </c>
      <c r="C273" s="114"/>
      <c r="D273" s="114"/>
      <c r="E273" s="114"/>
      <c r="F273" s="114"/>
      <c r="G273" s="115"/>
      <c r="H273" s="115"/>
      <c r="I273" s="115"/>
      <c r="J273" s="115"/>
      <c r="K273" s="115"/>
      <c r="L273" s="114"/>
      <c r="M273" s="114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4"/>
      <c r="Y273" s="114"/>
      <c r="Z273" s="115"/>
      <c r="AA273" s="114"/>
      <c r="AB273" s="114"/>
      <c r="AC273" s="115"/>
      <c r="AD273" s="116"/>
      <c r="AE273" s="114"/>
      <c r="AF273" s="114"/>
      <c r="AG273" s="114"/>
      <c r="AH273" s="1"/>
      <c r="AI273" s="95" t="str">
        <f aca="false">IF(INDEX($C:$C,273)&amp;INDEX($D:$D,273)="","",1)</f>
        <v/>
      </c>
      <c r="AJ273" s="95" t="str">
        <f aca="false">IF(OR(AI273="",INDEX($Z:$Z,273)="",INDEX($U:$U,273)="Declined"),"",1)</f>
        <v/>
      </c>
      <c r="AK273" s="95" t="str">
        <f aca="false">IF(AJ273="","",INDEX($Z:$Z,273)&amp;"-"&amp;COUNTIFS($Z$7:Z273,INDEX($Z:$Z,273),$AJ$7:AJ273,1))</f>
        <v/>
      </c>
      <c r="AL273" s="43" t="str">
        <f aca="false">IF(AI273="","",TRIM(INDEX($D:$D,273)&amp;" "&amp;INDEX($C:$C,273))&amp;IF(INDEX($I:$I,273)="Yes"," (child)",""))</f>
        <v/>
      </c>
      <c r="AM273" s="95" t="str">
        <f aca="false">IF(OR(AI273="",INDEX($X:$X,273)="",INDEX($U:$U,273)="Declined"),"",COUNTIFS($X$7:X273,"?*",$U$7:U273,"&lt;&gt;Declined",$AI$7:AI273,1))</f>
        <v/>
      </c>
      <c r="AN273" s="95" t="str">
        <f aca="false">IF(AI273="","",IF(INDEX($L:$L,273)="",1,IF(COUNTIF($L$7:L273,INDEX($L:$L,273))=1,1,"")))</f>
        <v/>
      </c>
      <c r="AO273" s="95" t="str">
        <f aca="false">IF(AN273&lt;&gt;1,"",IF(INDEX($L:$L,273)="",IF(INDEX($S:$S,273)="Yes",1,""),IF(COUNTIFS($L$7:$L$506,INDEX($L:$L,273),$S$7:$S$506,"Yes")&gt;0,1,"")))</f>
        <v/>
      </c>
      <c r="AP273" s="95" t="str">
        <f aca="false">IF(AN273&lt;&gt;1,"",IF(INDEX($L:$L,273)&lt;&gt;"",INDEX($L:$L,273),TRIM(INDEX($D:$D,273)&amp;" "&amp;INDEX($C:$C,273))))</f>
        <v/>
      </c>
      <c r="AQ273" s="43" t="str">
        <f aca="false">IF(OR(AI273="",INDEX($I:$I,273)="Yes"),"",1)</f>
        <v/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customFormat="false" ht="21.75" hidden="false" customHeight="true" outlineLevel="0" collapsed="false">
      <c r="A274" s="1"/>
      <c r="B274" s="113" t="str">
        <f aca="false">IF(AI274="","",COUNT($AI$7:AI274))</f>
        <v/>
      </c>
      <c r="C274" s="114"/>
      <c r="D274" s="114"/>
      <c r="E274" s="114"/>
      <c r="F274" s="114"/>
      <c r="G274" s="115"/>
      <c r="H274" s="115"/>
      <c r="I274" s="115"/>
      <c r="J274" s="115"/>
      <c r="K274" s="115"/>
      <c r="L274" s="114"/>
      <c r="M274" s="114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4"/>
      <c r="Y274" s="114"/>
      <c r="Z274" s="115"/>
      <c r="AA274" s="114"/>
      <c r="AB274" s="114"/>
      <c r="AC274" s="115"/>
      <c r="AD274" s="116"/>
      <c r="AE274" s="114"/>
      <c r="AF274" s="114"/>
      <c r="AG274" s="114"/>
      <c r="AH274" s="1"/>
      <c r="AI274" s="95" t="str">
        <f aca="false">IF(INDEX($C:$C,274)&amp;INDEX($D:$D,274)="","",1)</f>
        <v/>
      </c>
      <c r="AJ274" s="95" t="str">
        <f aca="false">IF(OR(AI274="",INDEX($Z:$Z,274)="",INDEX($U:$U,274)="Declined"),"",1)</f>
        <v/>
      </c>
      <c r="AK274" s="95" t="str">
        <f aca="false">IF(AJ274="","",INDEX($Z:$Z,274)&amp;"-"&amp;COUNTIFS($Z$7:Z274,INDEX($Z:$Z,274),$AJ$7:AJ274,1))</f>
        <v/>
      </c>
      <c r="AL274" s="43" t="str">
        <f aca="false">IF(AI274="","",TRIM(INDEX($D:$D,274)&amp;" "&amp;INDEX($C:$C,274))&amp;IF(INDEX($I:$I,274)="Yes"," (child)",""))</f>
        <v/>
      </c>
      <c r="AM274" s="95" t="str">
        <f aca="false">IF(OR(AI274="",INDEX($X:$X,274)="",INDEX($U:$U,274)="Declined"),"",COUNTIFS($X$7:X274,"?*",$U$7:U274,"&lt;&gt;Declined",$AI$7:AI274,1))</f>
        <v/>
      </c>
      <c r="AN274" s="95" t="str">
        <f aca="false">IF(AI274="","",IF(INDEX($L:$L,274)="",1,IF(COUNTIF($L$7:L274,INDEX($L:$L,274))=1,1,"")))</f>
        <v/>
      </c>
      <c r="AO274" s="95" t="str">
        <f aca="false">IF(AN274&lt;&gt;1,"",IF(INDEX($L:$L,274)="",IF(INDEX($S:$S,274)="Yes",1,""),IF(COUNTIFS($L$7:$L$506,INDEX($L:$L,274),$S$7:$S$506,"Yes")&gt;0,1,"")))</f>
        <v/>
      </c>
      <c r="AP274" s="95" t="str">
        <f aca="false">IF(AN274&lt;&gt;1,"",IF(INDEX($L:$L,274)&lt;&gt;"",INDEX($L:$L,274),TRIM(INDEX($D:$D,274)&amp;" "&amp;INDEX($C:$C,274))))</f>
        <v/>
      </c>
      <c r="AQ274" s="43" t="str">
        <f aca="false">IF(OR(AI274="",INDEX($I:$I,274)="Yes"),"",1)</f>
        <v/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customFormat="false" ht="21.75" hidden="false" customHeight="true" outlineLevel="0" collapsed="false">
      <c r="A275" s="1"/>
      <c r="B275" s="113" t="str">
        <f aca="false">IF(AI275="","",COUNT($AI$7:AI275))</f>
        <v/>
      </c>
      <c r="C275" s="114"/>
      <c r="D275" s="114"/>
      <c r="E275" s="114"/>
      <c r="F275" s="114"/>
      <c r="G275" s="115"/>
      <c r="H275" s="115"/>
      <c r="I275" s="115"/>
      <c r="J275" s="115"/>
      <c r="K275" s="115"/>
      <c r="L275" s="114"/>
      <c r="M275" s="114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4"/>
      <c r="Y275" s="114"/>
      <c r="Z275" s="115"/>
      <c r="AA275" s="114"/>
      <c r="AB275" s="114"/>
      <c r="AC275" s="115"/>
      <c r="AD275" s="116"/>
      <c r="AE275" s="114"/>
      <c r="AF275" s="114"/>
      <c r="AG275" s="114"/>
      <c r="AH275" s="1"/>
      <c r="AI275" s="95" t="str">
        <f aca="false">IF(INDEX($C:$C,275)&amp;INDEX($D:$D,275)="","",1)</f>
        <v/>
      </c>
      <c r="AJ275" s="95" t="str">
        <f aca="false">IF(OR(AI275="",INDEX($Z:$Z,275)="",INDEX($U:$U,275)="Declined"),"",1)</f>
        <v/>
      </c>
      <c r="AK275" s="95" t="str">
        <f aca="false">IF(AJ275="","",INDEX($Z:$Z,275)&amp;"-"&amp;COUNTIFS($Z$7:Z275,INDEX($Z:$Z,275),$AJ$7:AJ275,1))</f>
        <v/>
      </c>
      <c r="AL275" s="43" t="str">
        <f aca="false">IF(AI275="","",TRIM(INDEX($D:$D,275)&amp;" "&amp;INDEX($C:$C,275))&amp;IF(INDEX($I:$I,275)="Yes"," (child)",""))</f>
        <v/>
      </c>
      <c r="AM275" s="95" t="str">
        <f aca="false">IF(OR(AI275="",INDEX($X:$X,275)="",INDEX($U:$U,275)="Declined"),"",COUNTIFS($X$7:X275,"?*",$U$7:U275,"&lt;&gt;Declined",$AI$7:AI275,1))</f>
        <v/>
      </c>
      <c r="AN275" s="95" t="str">
        <f aca="false">IF(AI275="","",IF(INDEX($L:$L,275)="",1,IF(COUNTIF($L$7:L275,INDEX($L:$L,275))=1,1,"")))</f>
        <v/>
      </c>
      <c r="AO275" s="95" t="str">
        <f aca="false">IF(AN275&lt;&gt;1,"",IF(INDEX($L:$L,275)="",IF(INDEX($S:$S,275)="Yes",1,""),IF(COUNTIFS($L$7:$L$506,INDEX($L:$L,275),$S$7:$S$506,"Yes")&gt;0,1,"")))</f>
        <v/>
      </c>
      <c r="AP275" s="95" t="str">
        <f aca="false">IF(AN275&lt;&gt;1,"",IF(INDEX($L:$L,275)&lt;&gt;"",INDEX($L:$L,275),TRIM(INDEX($D:$D,275)&amp;" "&amp;INDEX($C:$C,275))))</f>
        <v/>
      </c>
      <c r="AQ275" s="43" t="str">
        <f aca="false">IF(OR(AI275="",INDEX($I:$I,275)="Yes"),"",1)</f>
        <v/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customFormat="false" ht="21.75" hidden="false" customHeight="true" outlineLevel="0" collapsed="false">
      <c r="A276" s="1"/>
      <c r="B276" s="113" t="str">
        <f aca="false">IF(AI276="","",COUNT($AI$7:AI276))</f>
        <v/>
      </c>
      <c r="C276" s="114"/>
      <c r="D276" s="114"/>
      <c r="E276" s="114"/>
      <c r="F276" s="114"/>
      <c r="G276" s="115"/>
      <c r="H276" s="115"/>
      <c r="I276" s="115"/>
      <c r="J276" s="115"/>
      <c r="K276" s="115"/>
      <c r="L276" s="114"/>
      <c r="M276" s="114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4"/>
      <c r="Y276" s="114"/>
      <c r="Z276" s="115"/>
      <c r="AA276" s="114"/>
      <c r="AB276" s="114"/>
      <c r="AC276" s="115"/>
      <c r="AD276" s="116"/>
      <c r="AE276" s="114"/>
      <c r="AF276" s="114"/>
      <c r="AG276" s="114"/>
      <c r="AH276" s="1"/>
      <c r="AI276" s="95" t="str">
        <f aca="false">IF(INDEX($C:$C,276)&amp;INDEX($D:$D,276)="","",1)</f>
        <v/>
      </c>
      <c r="AJ276" s="95" t="str">
        <f aca="false">IF(OR(AI276="",INDEX($Z:$Z,276)="",INDEX($U:$U,276)="Declined"),"",1)</f>
        <v/>
      </c>
      <c r="AK276" s="95" t="str">
        <f aca="false">IF(AJ276="","",INDEX($Z:$Z,276)&amp;"-"&amp;COUNTIFS($Z$7:Z276,INDEX($Z:$Z,276),$AJ$7:AJ276,1))</f>
        <v/>
      </c>
      <c r="AL276" s="43" t="str">
        <f aca="false">IF(AI276="","",TRIM(INDEX($D:$D,276)&amp;" "&amp;INDEX($C:$C,276))&amp;IF(INDEX($I:$I,276)="Yes"," (child)",""))</f>
        <v/>
      </c>
      <c r="AM276" s="95" t="str">
        <f aca="false">IF(OR(AI276="",INDEX($X:$X,276)="",INDEX($U:$U,276)="Declined"),"",COUNTIFS($X$7:X276,"?*",$U$7:U276,"&lt;&gt;Declined",$AI$7:AI276,1))</f>
        <v/>
      </c>
      <c r="AN276" s="95" t="str">
        <f aca="false">IF(AI276="","",IF(INDEX($L:$L,276)="",1,IF(COUNTIF($L$7:L276,INDEX($L:$L,276))=1,1,"")))</f>
        <v/>
      </c>
      <c r="AO276" s="95" t="str">
        <f aca="false">IF(AN276&lt;&gt;1,"",IF(INDEX($L:$L,276)="",IF(INDEX($S:$S,276)="Yes",1,""),IF(COUNTIFS($L$7:$L$506,INDEX($L:$L,276),$S$7:$S$506,"Yes")&gt;0,1,"")))</f>
        <v/>
      </c>
      <c r="AP276" s="95" t="str">
        <f aca="false">IF(AN276&lt;&gt;1,"",IF(INDEX($L:$L,276)&lt;&gt;"",INDEX($L:$L,276),TRIM(INDEX($D:$D,276)&amp;" "&amp;INDEX($C:$C,276))))</f>
        <v/>
      </c>
      <c r="AQ276" s="43" t="str">
        <f aca="false">IF(OR(AI276="",INDEX($I:$I,276)="Yes"),"",1)</f>
        <v/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customFormat="false" ht="21.75" hidden="false" customHeight="true" outlineLevel="0" collapsed="false">
      <c r="A277" s="1"/>
      <c r="B277" s="113" t="str">
        <f aca="false">IF(AI277="","",COUNT($AI$7:AI277))</f>
        <v/>
      </c>
      <c r="C277" s="114"/>
      <c r="D277" s="114"/>
      <c r="E277" s="114"/>
      <c r="F277" s="114"/>
      <c r="G277" s="115"/>
      <c r="H277" s="115"/>
      <c r="I277" s="115"/>
      <c r="J277" s="115"/>
      <c r="K277" s="115"/>
      <c r="L277" s="114"/>
      <c r="M277" s="114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4"/>
      <c r="Y277" s="114"/>
      <c r="Z277" s="115"/>
      <c r="AA277" s="114"/>
      <c r="AB277" s="114"/>
      <c r="AC277" s="115"/>
      <c r="AD277" s="116"/>
      <c r="AE277" s="114"/>
      <c r="AF277" s="114"/>
      <c r="AG277" s="114"/>
      <c r="AH277" s="1"/>
      <c r="AI277" s="95" t="str">
        <f aca="false">IF(INDEX($C:$C,277)&amp;INDEX($D:$D,277)="","",1)</f>
        <v/>
      </c>
      <c r="AJ277" s="95" t="str">
        <f aca="false">IF(OR(AI277="",INDEX($Z:$Z,277)="",INDEX($U:$U,277)="Declined"),"",1)</f>
        <v/>
      </c>
      <c r="AK277" s="95" t="str">
        <f aca="false">IF(AJ277="","",INDEX($Z:$Z,277)&amp;"-"&amp;COUNTIFS($Z$7:Z277,INDEX($Z:$Z,277),$AJ$7:AJ277,1))</f>
        <v/>
      </c>
      <c r="AL277" s="43" t="str">
        <f aca="false">IF(AI277="","",TRIM(INDEX($D:$D,277)&amp;" "&amp;INDEX($C:$C,277))&amp;IF(INDEX($I:$I,277)="Yes"," (child)",""))</f>
        <v/>
      </c>
      <c r="AM277" s="95" t="str">
        <f aca="false">IF(OR(AI277="",INDEX($X:$X,277)="",INDEX($U:$U,277)="Declined"),"",COUNTIFS($X$7:X277,"?*",$U$7:U277,"&lt;&gt;Declined",$AI$7:AI277,1))</f>
        <v/>
      </c>
      <c r="AN277" s="95" t="str">
        <f aca="false">IF(AI277="","",IF(INDEX($L:$L,277)="",1,IF(COUNTIF($L$7:L277,INDEX($L:$L,277))=1,1,"")))</f>
        <v/>
      </c>
      <c r="AO277" s="95" t="str">
        <f aca="false">IF(AN277&lt;&gt;1,"",IF(INDEX($L:$L,277)="",IF(INDEX($S:$S,277)="Yes",1,""),IF(COUNTIFS($L$7:$L$506,INDEX($L:$L,277),$S$7:$S$506,"Yes")&gt;0,1,"")))</f>
        <v/>
      </c>
      <c r="AP277" s="95" t="str">
        <f aca="false">IF(AN277&lt;&gt;1,"",IF(INDEX($L:$L,277)&lt;&gt;"",INDEX($L:$L,277),TRIM(INDEX($D:$D,277)&amp;" "&amp;INDEX($C:$C,277))))</f>
        <v/>
      </c>
      <c r="AQ277" s="43" t="str">
        <f aca="false">IF(OR(AI277="",INDEX($I:$I,277)="Yes"),"",1)</f>
        <v/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customFormat="false" ht="21.75" hidden="false" customHeight="true" outlineLevel="0" collapsed="false">
      <c r="A278" s="1"/>
      <c r="B278" s="113" t="str">
        <f aca="false">IF(AI278="","",COUNT($AI$7:AI278))</f>
        <v/>
      </c>
      <c r="C278" s="114"/>
      <c r="D278" s="114"/>
      <c r="E278" s="114"/>
      <c r="F278" s="114"/>
      <c r="G278" s="115"/>
      <c r="H278" s="115"/>
      <c r="I278" s="115"/>
      <c r="J278" s="115"/>
      <c r="K278" s="115"/>
      <c r="L278" s="114"/>
      <c r="M278" s="114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4"/>
      <c r="Y278" s="114"/>
      <c r="Z278" s="115"/>
      <c r="AA278" s="114"/>
      <c r="AB278" s="114"/>
      <c r="AC278" s="115"/>
      <c r="AD278" s="116"/>
      <c r="AE278" s="114"/>
      <c r="AF278" s="114"/>
      <c r="AG278" s="114"/>
      <c r="AH278" s="1"/>
      <c r="AI278" s="95" t="str">
        <f aca="false">IF(INDEX($C:$C,278)&amp;INDEX($D:$D,278)="","",1)</f>
        <v/>
      </c>
      <c r="AJ278" s="95" t="str">
        <f aca="false">IF(OR(AI278="",INDEX($Z:$Z,278)="",INDEX($U:$U,278)="Declined"),"",1)</f>
        <v/>
      </c>
      <c r="AK278" s="95" t="str">
        <f aca="false">IF(AJ278="","",INDEX($Z:$Z,278)&amp;"-"&amp;COUNTIFS($Z$7:Z278,INDEX($Z:$Z,278),$AJ$7:AJ278,1))</f>
        <v/>
      </c>
      <c r="AL278" s="43" t="str">
        <f aca="false">IF(AI278="","",TRIM(INDEX($D:$D,278)&amp;" "&amp;INDEX($C:$C,278))&amp;IF(INDEX($I:$I,278)="Yes"," (child)",""))</f>
        <v/>
      </c>
      <c r="AM278" s="95" t="str">
        <f aca="false">IF(OR(AI278="",INDEX($X:$X,278)="",INDEX($U:$U,278)="Declined"),"",COUNTIFS($X$7:X278,"?*",$U$7:U278,"&lt;&gt;Declined",$AI$7:AI278,1))</f>
        <v/>
      </c>
      <c r="AN278" s="95" t="str">
        <f aca="false">IF(AI278="","",IF(INDEX($L:$L,278)="",1,IF(COUNTIF($L$7:L278,INDEX($L:$L,278))=1,1,"")))</f>
        <v/>
      </c>
      <c r="AO278" s="95" t="str">
        <f aca="false">IF(AN278&lt;&gt;1,"",IF(INDEX($L:$L,278)="",IF(INDEX($S:$S,278)="Yes",1,""),IF(COUNTIFS($L$7:$L$506,INDEX($L:$L,278),$S$7:$S$506,"Yes")&gt;0,1,"")))</f>
        <v/>
      </c>
      <c r="AP278" s="95" t="str">
        <f aca="false">IF(AN278&lt;&gt;1,"",IF(INDEX($L:$L,278)&lt;&gt;"",INDEX($L:$L,278),TRIM(INDEX($D:$D,278)&amp;" "&amp;INDEX($C:$C,278))))</f>
        <v/>
      </c>
      <c r="AQ278" s="43" t="str">
        <f aca="false">IF(OR(AI278="",INDEX($I:$I,278)="Yes"),"",1)</f>
        <v/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customFormat="false" ht="21.75" hidden="false" customHeight="true" outlineLevel="0" collapsed="false">
      <c r="A279" s="1"/>
      <c r="B279" s="113" t="str">
        <f aca="false">IF(AI279="","",COUNT($AI$7:AI279))</f>
        <v/>
      </c>
      <c r="C279" s="114"/>
      <c r="D279" s="114"/>
      <c r="E279" s="114"/>
      <c r="F279" s="114"/>
      <c r="G279" s="115"/>
      <c r="H279" s="115"/>
      <c r="I279" s="115"/>
      <c r="J279" s="115"/>
      <c r="K279" s="115"/>
      <c r="L279" s="114"/>
      <c r="M279" s="114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4"/>
      <c r="Y279" s="114"/>
      <c r="Z279" s="115"/>
      <c r="AA279" s="114"/>
      <c r="AB279" s="114"/>
      <c r="AC279" s="115"/>
      <c r="AD279" s="116"/>
      <c r="AE279" s="114"/>
      <c r="AF279" s="114"/>
      <c r="AG279" s="114"/>
      <c r="AH279" s="1"/>
      <c r="AI279" s="95" t="str">
        <f aca="false">IF(INDEX($C:$C,279)&amp;INDEX($D:$D,279)="","",1)</f>
        <v/>
      </c>
      <c r="AJ279" s="95" t="str">
        <f aca="false">IF(OR(AI279="",INDEX($Z:$Z,279)="",INDEX($U:$U,279)="Declined"),"",1)</f>
        <v/>
      </c>
      <c r="AK279" s="95" t="str">
        <f aca="false">IF(AJ279="","",INDEX($Z:$Z,279)&amp;"-"&amp;COUNTIFS($Z$7:Z279,INDEX($Z:$Z,279),$AJ$7:AJ279,1))</f>
        <v/>
      </c>
      <c r="AL279" s="43" t="str">
        <f aca="false">IF(AI279="","",TRIM(INDEX($D:$D,279)&amp;" "&amp;INDEX($C:$C,279))&amp;IF(INDEX($I:$I,279)="Yes"," (child)",""))</f>
        <v/>
      </c>
      <c r="AM279" s="95" t="str">
        <f aca="false">IF(OR(AI279="",INDEX($X:$X,279)="",INDEX($U:$U,279)="Declined"),"",COUNTIFS($X$7:X279,"?*",$U$7:U279,"&lt;&gt;Declined",$AI$7:AI279,1))</f>
        <v/>
      </c>
      <c r="AN279" s="95" t="str">
        <f aca="false">IF(AI279="","",IF(INDEX($L:$L,279)="",1,IF(COUNTIF($L$7:L279,INDEX($L:$L,279))=1,1,"")))</f>
        <v/>
      </c>
      <c r="AO279" s="95" t="str">
        <f aca="false">IF(AN279&lt;&gt;1,"",IF(INDEX($L:$L,279)="",IF(INDEX($S:$S,279)="Yes",1,""),IF(COUNTIFS($L$7:$L$506,INDEX($L:$L,279),$S$7:$S$506,"Yes")&gt;0,1,"")))</f>
        <v/>
      </c>
      <c r="AP279" s="95" t="str">
        <f aca="false">IF(AN279&lt;&gt;1,"",IF(INDEX($L:$L,279)&lt;&gt;"",INDEX($L:$L,279),TRIM(INDEX($D:$D,279)&amp;" "&amp;INDEX($C:$C,279))))</f>
        <v/>
      </c>
      <c r="AQ279" s="43" t="str">
        <f aca="false">IF(OR(AI279="",INDEX($I:$I,279)="Yes"),"",1)</f>
        <v/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customFormat="false" ht="21.75" hidden="false" customHeight="true" outlineLevel="0" collapsed="false">
      <c r="A280" s="1"/>
      <c r="B280" s="113" t="str">
        <f aca="false">IF(AI280="","",COUNT($AI$7:AI280))</f>
        <v/>
      </c>
      <c r="C280" s="114"/>
      <c r="D280" s="114"/>
      <c r="E280" s="114"/>
      <c r="F280" s="114"/>
      <c r="G280" s="115"/>
      <c r="H280" s="115"/>
      <c r="I280" s="115"/>
      <c r="J280" s="115"/>
      <c r="K280" s="115"/>
      <c r="L280" s="114"/>
      <c r="M280" s="114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4"/>
      <c r="Y280" s="114"/>
      <c r="Z280" s="115"/>
      <c r="AA280" s="114"/>
      <c r="AB280" s="114"/>
      <c r="AC280" s="115"/>
      <c r="AD280" s="116"/>
      <c r="AE280" s="114"/>
      <c r="AF280" s="114"/>
      <c r="AG280" s="114"/>
      <c r="AH280" s="1"/>
      <c r="AI280" s="95" t="str">
        <f aca="false">IF(INDEX($C:$C,280)&amp;INDEX($D:$D,280)="","",1)</f>
        <v/>
      </c>
      <c r="AJ280" s="95" t="str">
        <f aca="false">IF(OR(AI280="",INDEX($Z:$Z,280)="",INDEX($U:$U,280)="Declined"),"",1)</f>
        <v/>
      </c>
      <c r="AK280" s="95" t="str">
        <f aca="false">IF(AJ280="","",INDEX($Z:$Z,280)&amp;"-"&amp;COUNTIFS($Z$7:Z280,INDEX($Z:$Z,280),$AJ$7:AJ280,1))</f>
        <v/>
      </c>
      <c r="AL280" s="43" t="str">
        <f aca="false">IF(AI280="","",TRIM(INDEX($D:$D,280)&amp;" "&amp;INDEX($C:$C,280))&amp;IF(INDEX($I:$I,280)="Yes"," (child)",""))</f>
        <v/>
      </c>
      <c r="AM280" s="95" t="str">
        <f aca="false">IF(OR(AI280="",INDEX($X:$X,280)="",INDEX($U:$U,280)="Declined"),"",COUNTIFS($X$7:X280,"?*",$U$7:U280,"&lt;&gt;Declined",$AI$7:AI280,1))</f>
        <v/>
      </c>
      <c r="AN280" s="95" t="str">
        <f aca="false">IF(AI280="","",IF(INDEX($L:$L,280)="",1,IF(COUNTIF($L$7:L280,INDEX($L:$L,280))=1,1,"")))</f>
        <v/>
      </c>
      <c r="AO280" s="95" t="str">
        <f aca="false">IF(AN280&lt;&gt;1,"",IF(INDEX($L:$L,280)="",IF(INDEX($S:$S,280)="Yes",1,""),IF(COUNTIFS($L$7:$L$506,INDEX($L:$L,280),$S$7:$S$506,"Yes")&gt;0,1,"")))</f>
        <v/>
      </c>
      <c r="AP280" s="95" t="str">
        <f aca="false">IF(AN280&lt;&gt;1,"",IF(INDEX($L:$L,280)&lt;&gt;"",INDEX($L:$L,280),TRIM(INDEX($D:$D,280)&amp;" "&amp;INDEX($C:$C,280))))</f>
        <v/>
      </c>
      <c r="AQ280" s="43" t="str">
        <f aca="false">IF(OR(AI280="",INDEX($I:$I,280)="Yes"),"",1)</f>
        <v/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customFormat="false" ht="21.75" hidden="false" customHeight="true" outlineLevel="0" collapsed="false">
      <c r="A281" s="1"/>
      <c r="B281" s="113" t="str">
        <f aca="false">IF(AI281="","",COUNT($AI$7:AI281))</f>
        <v/>
      </c>
      <c r="C281" s="114"/>
      <c r="D281" s="114"/>
      <c r="E281" s="114"/>
      <c r="F281" s="114"/>
      <c r="G281" s="115"/>
      <c r="H281" s="115"/>
      <c r="I281" s="115"/>
      <c r="J281" s="115"/>
      <c r="K281" s="115"/>
      <c r="L281" s="114"/>
      <c r="M281" s="114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4"/>
      <c r="Y281" s="114"/>
      <c r="Z281" s="115"/>
      <c r="AA281" s="114"/>
      <c r="AB281" s="114"/>
      <c r="AC281" s="115"/>
      <c r="AD281" s="116"/>
      <c r="AE281" s="114"/>
      <c r="AF281" s="114"/>
      <c r="AG281" s="114"/>
      <c r="AH281" s="1"/>
      <c r="AI281" s="95" t="str">
        <f aca="false">IF(INDEX($C:$C,281)&amp;INDEX($D:$D,281)="","",1)</f>
        <v/>
      </c>
      <c r="AJ281" s="95" t="str">
        <f aca="false">IF(OR(AI281="",INDEX($Z:$Z,281)="",INDEX($U:$U,281)="Declined"),"",1)</f>
        <v/>
      </c>
      <c r="AK281" s="95" t="str">
        <f aca="false">IF(AJ281="","",INDEX($Z:$Z,281)&amp;"-"&amp;COUNTIFS($Z$7:Z281,INDEX($Z:$Z,281),$AJ$7:AJ281,1))</f>
        <v/>
      </c>
      <c r="AL281" s="43" t="str">
        <f aca="false">IF(AI281="","",TRIM(INDEX($D:$D,281)&amp;" "&amp;INDEX($C:$C,281))&amp;IF(INDEX($I:$I,281)="Yes"," (child)",""))</f>
        <v/>
      </c>
      <c r="AM281" s="95" t="str">
        <f aca="false">IF(OR(AI281="",INDEX($X:$X,281)="",INDEX($U:$U,281)="Declined"),"",COUNTIFS($X$7:X281,"?*",$U$7:U281,"&lt;&gt;Declined",$AI$7:AI281,1))</f>
        <v/>
      </c>
      <c r="AN281" s="95" t="str">
        <f aca="false">IF(AI281="","",IF(INDEX($L:$L,281)="",1,IF(COUNTIF($L$7:L281,INDEX($L:$L,281))=1,1,"")))</f>
        <v/>
      </c>
      <c r="AO281" s="95" t="str">
        <f aca="false">IF(AN281&lt;&gt;1,"",IF(INDEX($L:$L,281)="",IF(INDEX($S:$S,281)="Yes",1,""),IF(COUNTIFS($L$7:$L$506,INDEX($L:$L,281),$S$7:$S$506,"Yes")&gt;0,1,"")))</f>
        <v/>
      </c>
      <c r="AP281" s="95" t="str">
        <f aca="false">IF(AN281&lt;&gt;1,"",IF(INDEX($L:$L,281)&lt;&gt;"",INDEX($L:$L,281),TRIM(INDEX($D:$D,281)&amp;" "&amp;INDEX($C:$C,281))))</f>
        <v/>
      </c>
      <c r="AQ281" s="43" t="str">
        <f aca="false">IF(OR(AI281="",INDEX($I:$I,281)="Yes"),"",1)</f>
        <v/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customFormat="false" ht="21.75" hidden="false" customHeight="true" outlineLevel="0" collapsed="false">
      <c r="A282" s="1"/>
      <c r="B282" s="113" t="str">
        <f aca="false">IF(AI282="","",COUNT($AI$7:AI282))</f>
        <v/>
      </c>
      <c r="C282" s="114"/>
      <c r="D282" s="114"/>
      <c r="E282" s="114"/>
      <c r="F282" s="114"/>
      <c r="G282" s="115"/>
      <c r="H282" s="115"/>
      <c r="I282" s="115"/>
      <c r="J282" s="115"/>
      <c r="K282" s="115"/>
      <c r="L282" s="114"/>
      <c r="M282" s="114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4"/>
      <c r="Y282" s="114"/>
      <c r="Z282" s="115"/>
      <c r="AA282" s="114"/>
      <c r="AB282" s="114"/>
      <c r="AC282" s="115"/>
      <c r="AD282" s="116"/>
      <c r="AE282" s="114"/>
      <c r="AF282" s="114"/>
      <c r="AG282" s="114"/>
      <c r="AH282" s="1"/>
      <c r="AI282" s="95" t="str">
        <f aca="false">IF(INDEX($C:$C,282)&amp;INDEX($D:$D,282)="","",1)</f>
        <v/>
      </c>
      <c r="AJ282" s="95" t="str">
        <f aca="false">IF(OR(AI282="",INDEX($Z:$Z,282)="",INDEX($U:$U,282)="Declined"),"",1)</f>
        <v/>
      </c>
      <c r="AK282" s="95" t="str">
        <f aca="false">IF(AJ282="","",INDEX($Z:$Z,282)&amp;"-"&amp;COUNTIFS($Z$7:Z282,INDEX($Z:$Z,282),$AJ$7:AJ282,1))</f>
        <v/>
      </c>
      <c r="AL282" s="43" t="str">
        <f aca="false">IF(AI282="","",TRIM(INDEX($D:$D,282)&amp;" "&amp;INDEX($C:$C,282))&amp;IF(INDEX($I:$I,282)="Yes"," (child)",""))</f>
        <v/>
      </c>
      <c r="AM282" s="95" t="str">
        <f aca="false">IF(OR(AI282="",INDEX($X:$X,282)="",INDEX($U:$U,282)="Declined"),"",COUNTIFS($X$7:X282,"?*",$U$7:U282,"&lt;&gt;Declined",$AI$7:AI282,1))</f>
        <v/>
      </c>
      <c r="AN282" s="95" t="str">
        <f aca="false">IF(AI282="","",IF(INDEX($L:$L,282)="",1,IF(COUNTIF($L$7:L282,INDEX($L:$L,282))=1,1,"")))</f>
        <v/>
      </c>
      <c r="AO282" s="95" t="str">
        <f aca="false">IF(AN282&lt;&gt;1,"",IF(INDEX($L:$L,282)="",IF(INDEX($S:$S,282)="Yes",1,""),IF(COUNTIFS($L$7:$L$506,INDEX($L:$L,282),$S$7:$S$506,"Yes")&gt;0,1,"")))</f>
        <v/>
      </c>
      <c r="AP282" s="95" t="str">
        <f aca="false">IF(AN282&lt;&gt;1,"",IF(INDEX($L:$L,282)&lt;&gt;"",INDEX($L:$L,282),TRIM(INDEX($D:$D,282)&amp;" "&amp;INDEX($C:$C,282))))</f>
        <v/>
      </c>
      <c r="AQ282" s="43" t="str">
        <f aca="false">IF(OR(AI282="",INDEX($I:$I,282)="Yes"),"",1)</f>
        <v/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customFormat="false" ht="21.75" hidden="false" customHeight="true" outlineLevel="0" collapsed="false">
      <c r="A283" s="1"/>
      <c r="B283" s="113" t="str">
        <f aca="false">IF(AI283="","",COUNT($AI$7:AI283))</f>
        <v/>
      </c>
      <c r="C283" s="114"/>
      <c r="D283" s="114"/>
      <c r="E283" s="114"/>
      <c r="F283" s="114"/>
      <c r="G283" s="115"/>
      <c r="H283" s="115"/>
      <c r="I283" s="115"/>
      <c r="J283" s="115"/>
      <c r="K283" s="115"/>
      <c r="L283" s="114"/>
      <c r="M283" s="114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4"/>
      <c r="Y283" s="114"/>
      <c r="Z283" s="115"/>
      <c r="AA283" s="114"/>
      <c r="AB283" s="114"/>
      <c r="AC283" s="115"/>
      <c r="AD283" s="116"/>
      <c r="AE283" s="114"/>
      <c r="AF283" s="114"/>
      <c r="AG283" s="114"/>
      <c r="AH283" s="1"/>
      <c r="AI283" s="95" t="str">
        <f aca="false">IF(INDEX($C:$C,283)&amp;INDEX($D:$D,283)="","",1)</f>
        <v/>
      </c>
      <c r="AJ283" s="95" t="str">
        <f aca="false">IF(OR(AI283="",INDEX($Z:$Z,283)="",INDEX($U:$U,283)="Declined"),"",1)</f>
        <v/>
      </c>
      <c r="AK283" s="95" t="str">
        <f aca="false">IF(AJ283="","",INDEX($Z:$Z,283)&amp;"-"&amp;COUNTIFS($Z$7:Z283,INDEX($Z:$Z,283),$AJ$7:AJ283,1))</f>
        <v/>
      </c>
      <c r="AL283" s="43" t="str">
        <f aca="false">IF(AI283="","",TRIM(INDEX($D:$D,283)&amp;" "&amp;INDEX($C:$C,283))&amp;IF(INDEX($I:$I,283)="Yes"," (child)",""))</f>
        <v/>
      </c>
      <c r="AM283" s="95" t="str">
        <f aca="false">IF(OR(AI283="",INDEX($X:$X,283)="",INDEX($U:$U,283)="Declined"),"",COUNTIFS($X$7:X283,"?*",$U$7:U283,"&lt;&gt;Declined",$AI$7:AI283,1))</f>
        <v/>
      </c>
      <c r="AN283" s="95" t="str">
        <f aca="false">IF(AI283="","",IF(INDEX($L:$L,283)="",1,IF(COUNTIF($L$7:L283,INDEX($L:$L,283))=1,1,"")))</f>
        <v/>
      </c>
      <c r="AO283" s="95" t="str">
        <f aca="false">IF(AN283&lt;&gt;1,"",IF(INDEX($L:$L,283)="",IF(INDEX($S:$S,283)="Yes",1,""),IF(COUNTIFS($L$7:$L$506,INDEX($L:$L,283),$S$7:$S$506,"Yes")&gt;0,1,"")))</f>
        <v/>
      </c>
      <c r="AP283" s="95" t="str">
        <f aca="false">IF(AN283&lt;&gt;1,"",IF(INDEX($L:$L,283)&lt;&gt;"",INDEX($L:$L,283),TRIM(INDEX($D:$D,283)&amp;" "&amp;INDEX($C:$C,283))))</f>
        <v/>
      </c>
      <c r="AQ283" s="43" t="str">
        <f aca="false">IF(OR(AI283="",INDEX($I:$I,283)="Yes"),"",1)</f>
        <v/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customFormat="false" ht="21.75" hidden="false" customHeight="true" outlineLevel="0" collapsed="false">
      <c r="A284" s="1"/>
      <c r="B284" s="113" t="str">
        <f aca="false">IF(AI284="","",COUNT($AI$7:AI284))</f>
        <v/>
      </c>
      <c r="C284" s="114"/>
      <c r="D284" s="114"/>
      <c r="E284" s="114"/>
      <c r="F284" s="114"/>
      <c r="G284" s="115"/>
      <c r="H284" s="115"/>
      <c r="I284" s="115"/>
      <c r="J284" s="115"/>
      <c r="K284" s="115"/>
      <c r="L284" s="114"/>
      <c r="M284" s="114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4"/>
      <c r="Y284" s="114"/>
      <c r="Z284" s="115"/>
      <c r="AA284" s="114"/>
      <c r="AB284" s="114"/>
      <c r="AC284" s="115"/>
      <c r="AD284" s="116"/>
      <c r="AE284" s="114"/>
      <c r="AF284" s="114"/>
      <c r="AG284" s="114"/>
      <c r="AH284" s="1"/>
      <c r="AI284" s="95" t="str">
        <f aca="false">IF(INDEX($C:$C,284)&amp;INDEX($D:$D,284)="","",1)</f>
        <v/>
      </c>
      <c r="AJ284" s="95" t="str">
        <f aca="false">IF(OR(AI284="",INDEX($Z:$Z,284)="",INDEX($U:$U,284)="Declined"),"",1)</f>
        <v/>
      </c>
      <c r="AK284" s="95" t="str">
        <f aca="false">IF(AJ284="","",INDEX($Z:$Z,284)&amp;"-"&amp;COUNTIFS($Z$7:Z284,INDEX($Z:$Z,284),$AJ$7:AJ284,1))</f>
        <v/>
      </c>
      <c r="AL284" s="43" t="str">
        <f aca="false">IF(AI284="","",TRIM(INDEX($D:$D,284)&amp;" "&amp;INDEX($C:$C,284))&amp;IF(INDEX($I:$I,284)="Yes"," (child)",""))</f>
        <v/>
      </c>
      <c r="AM284" s="95" t="str">
        <f aca="false">IF(OR(AI284="",INDEX($X:$X,284)="",INDEX($U:$U,284)="Declined"),"",COUNTIFS($X$7:X284,"?*",$U$7:U284,"&lt;&gt;Declined",$AI$7:AI284,1))</f>
        <v/>
      </c>
      <c r="AN284" s="95" t="str">
        <f aca="false">IF(AI284="","",IF(INDEX($L:$L,284)="",1,IF(COUNTIF($L$7:L284,INDEX($L:$L,284))=1,1,"")))</f>
        <v/>
      </c>
      <c r="AO284" s="95" t="str">
        <f aca="false">IF(AN284&lt;&gt;1,"",IF(INDEX($L:$L,284)="",IF(INDEX($S:$S,284)="Yes",1,""),IF(COUNTIFS($L$7:$L$506,INDEX($L:$L,284),$S$7:$S$506,"Yes")&gt;0,1,"")))</f>
        <v/>
      </c>
      <c r="AP284" s="95" t="str">
        <f aca="false">IF(AN284&lt;&gt;1,"",IF(INDEX($L:$L,284)&lt;&gt;"",INDEX($L:$L,284),TRIM(INDEX($D:$D,284)&amp;" "&amp;INDEX($C:$C,284))))</f>
        <v/>
      </c>
      <c r="AQ284" s="43" t="str">
        <f aca="false">IF(OR(AI284="",INDEX($I:$I,284)="Yes"),"",1)</f>
        <v/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customFormat="false" ht="21.75" hidden="false" customHeight="true" outlineLevel="0" collapsed="false">
      <c r="A285" s="1"/>
      <c r="B285" s="113" t="str">
        <f aca="false">IF(AI285="","",COUNT($AI$7:AI285))</f>
        <v/>
      </c>
      <c r="C285" s="114"/>
      <c r="D285" s="114"/>
      <c r="E285" s="114"/>
      <c r="F285" s="114"/>
      <c r="G285" s="115"/>
      <c r="H285" s="115"/>
      <c r="I285" s="115"/>
      <c r="J285" s="115"/>
      <c r="K285" s="115"/>
      <c r="L285" s="114"/>
      <c r="M285" s="114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4"/>
      <c r="Y285" s="114"/>
      <c r="Z285" s="115"/>
      <c r="AA285" s="114"/>
      <c r="AB285" s="114"/>
      <c r="AC285" s="115"/>
      <c r="AD285" s="116"/>
      <c r="AE285" s="114"/>
      <c r="AF285" s="114"/>
      <c r="AG285" s="114"/>
      <c r="AH285" s="1"/>
      <c r="AI285" s="95" t="str">
        <f aca="false">IF(INDEX($C:$C,285)&amp;INDEX($D:$D,285)="","",1)</f>
        <v/>
      </c>
      <c r="AJ285" s="95" t="str">
        <f aca="false">IF(OR(AI285="",INDEX($Z:$Z,285)="",INDEX($U:$U,285)="Declined"),"",1)</f>
        <v/>
      </c>
      <c r="AK285" s="95" t="str">
        <f aca="false">IF(AJ285="","",INDEX($Z:$Z,285)&amp;"-"&amp;COUNTIFS($Z$7:Z285,INDEX($Z:$Z,285),$AJ$7:AJ285,1))</f>
        <v/>
      </c>
      <c r="AL285" s="43" t="str">
        <f aca="false">IF(AI285="","",TRIM(INDEX($D:$D,285)&amp;" "&amp;INDEX($C:$C,285))&amp;IF(INDEX($I:$I,285)="Yes"," (child)",""))</f>
        <v/>
      </c>
      <c r="AM285" s="95" t="str">
        <f aca="false">IF(OR(AI285="",INDEX($X:$X,285)="",INDEX($U:$U,285)="Declined"),"",COUNTIFS($X$7:X285,"?*",$U$7:U285,"&lt;&gt;Declined",$AI$7:AI285,1))</f>
        <v/>
      </c>
      <c r="AN285" s="95" t="str">
        <f aca="false">IF(AI285="","",IF(INDEX($L:$L,285)="",1,IF(COUNTIF($L$7:L285,INDEX($L:$L,285))=1,1,"")))</f>
        <v/>
      </c>
      <c r="AO285" s="95" t="str">
        <f aca="false">IF(AN285&lt;&gt;1,"",IF(INDEX($L:$L,285)="",IF(INDEX($S:$S,285)="Yes",1,""),IF(COUNTIFS($L$7:$L$506,INDEX($L:$L,285),$S$7:$S$506,"Yes")&gt;0,1,"")))</f>
        <v/>
      </c>
      <c r="AP285" s="95" t="str">
        <f aca="false">IF(AN285&lt;&gt;1,"",IF(INDEX($L:$L,285)&lt;&gt;"",INDEX($L:$L,285),TRIM(INDEX($D:$D,285)&amp;" "&amp;INDEX($C:$C,285))))</f>
        <v/>
      </c>
      <c r="AQ285" s="43" t="str">
        <f aca="false">IF(OR(AI285="",INDEX($I:$I,285)="Yes"),"",1)</f>
        <v/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customFormat="false" ht="21.75" hidden="false" customHeight="true" outlineLevel="0" collapsed="false">
      <c r="A286" s="1"/>
      <c r="B286" s="113" t="str">
        <f aca="false">IF(AI286="","",COUNT($AI$7:AI286))</f>
        <v/>
      </c>
      <c r="C286" s="114"/>
      <c r="D286" s="114"/>
      <c r="E286" s="114"/>
      <c r="F286" s="114"/>
      <c r="G286" s="115"/>
      <c r="H286" s="115"/>
      <c r="I286" s="115"/>
      <c r="J286" s="115"/>
      <c r="K286" s="115"/>
      <c r="L286" s="114"/>
      <c r="M286" s="114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4"/>
      <c r="Y286" s="114"/>
      <c r="Z286" s="115"/>
      <c r="AA286" s="114"/>
      <c r="AB286" s="114"/>
      <c r="AC286" s="115"/>
      <c r="AD286" s="116"/>
      <c r="AE286" s="114"/>
      <c r="AF286" s="114"/>
      <c r="AG286" s="114"/>
      <c r="AH286" s="1"/>
      <c r="AI286" s="95" t="str">
        <f aca="false">IF(INDEX($C:$C,286)&amp;INDEX($D:$D,286)="","",1)</f>
        <v/>
      </c>
      <c r="AJ286" s="95" t="str">
        <f aca="false">IF(OR(AI286="",INDEX($Z:$Z,286)="",INDEX($U:$U,286)="Declined"),"",1)</f>
        <v/>
      </c>
      <c r="AK286" s="95" t="str">
        <f aca="false">IF(AJ286="","",INDEX($Z:$Z,286)&amp;"-"&amp;COUNTIFS($Z$7:Z286,INDEX($Z:$Z,286),$AJ$7:AJ286,1))</f>
        <v/>
      </c>
      <c r="AL286" s="43" t="str">
        <f aca="false">IF(AI286="","",TRIM(INDEX($D:$D,286)&amp;" "&amp;INDEX($C:$C,286))&amp;IF(INDEX($I:$I,286)="Yes"," (child)",""))</f>
        <v/>
      </c>
      <c r="AM286" s="95" t="str">
        <f aca="false">IF(OR(AI286="",INDEX($X:$X,286)="",INDEX($U:$U,286)="Declined"),"",COUNTIFS($X$7:X286,"?*",$U$7:U286,"&lt;&gt;Declined",$AI$7:AI286,1))</f>
        <v/>
      </c>
      <c r="AN286" s="95" t="str">
        <f aca="false">IF(AI286="","",IF(INDEX($L:$L,286)="",1,IF(COUNTIF($L$7:L286,INDEX($L:$L,286))=1,1,"")))</f>
        <v/>
      </c>
      <c r="AO286" s="95" t="str">
        <f aca="false">IF(AN286&lt;&gt;1,"",IF(INDEX($L:$L,286)="",IF(INDEX($S:$S,286)="Yes",1,""),IF(COUNTIFS($L$7:$L$506,INDEX($L:$L,286),$S$7:$S$506,"Yes")&gt;0,1,"")))</f>
        <v/>
      </c>
      <c r="AP286" s="95" t="str">
        <f aca="false">IF(AN286&lt;&gt;1,"",IF(INDEX($L:$L,286)&lt;&gt;"",INDEX($L:$L,286),TRIM(INDEX($D:$D,286)&amp;" "&amp;INDEX($C:$C,286))))</f>
        <v/>
      </c>
      <c r="AQ286" s="43" t="str">
        <f aca="false">IF(OR(AI286="",INDEX($I:$I,286)="Yes"),"",1)</f>
        <v/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customFormat="false" ht="21.75" hidden="false" customHeight="true" outlineLevel="0" collapsed="false">
      <c r="A287" s="1"/>
      <c r="B287" s="113" t="str">
        <f aca="false">IF(AI287="","",COUNT($AI$7:AI287))</f>
        <v/>
      </c>
      <c r="C287" s="114"/>
      <c r="D287" s="114"/>
      <c r="E287" s="114"/>
      <c r="F287" s="114"/>
      <c r="G287" s="115"/>
      <c r="H287" s="115"/>
      <c r="I287" s="115"/>
      <c r="J287" s="115"/>
      <c r="K287" s="115"/>
      <c r="L287" s="114"/>
      <c r="M287" s="114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4"/>
      <c r="Y287" s="114"/>
      <c r="Z287" s="115"/>
      <c r="AA287" s="114"/>
      <c r="AB287" s="114"/>
      <c r="AC287" s="115"/>
      <c r="AD287" s="116"/>
      <c r="AE287" s="114"/>
      <c r="AF287" s="114"/>
      <c r="AG287" s="114"/>
      <c r="AH287" s="1"/>
      <c r="AI287" s="95" t="str">
        <f aca="false">IF(INDEX($C:$C,287)&amp;INDEX($D:$D,287)="","",1)</f>
        <v/>
      </c>
      <c r="AJ287" s="95" t="str">
        <f aca="false">IF(OR(AI287="",INDEX($Z:$Z,287)="",INDEX($U:$U,287)="Declined"),"",1)</f>
        <v/>
      </c>
      <c r="AK287" s="95" t="str">
        <f aca="false">IF(AJ287="","",INDEX($Z:$Z,287)&amp;"-"&amp;COUNTIFS($Z$7:Z287,INDEX($Z:$Z,287),$AJ$7:AJ287,1))</f>
        <v/>
      </c>
      <c r="AL287" s="43" t="str">
        <f aca="false">IF(AI287="","",TRIM(INDEX($D:$D,287)&amp;" "&amp;INDEX($C:$C,287))&amp;IF(INDEX($I:$I,287)="Yes"," (child)",""))</f>
        <v/>
      </c>
      <c r="AM287" s="95" t="str">
        <f aca="false">IF(OR(AI287="",INDEX($X:$X,287)="",INDEX($U:$U,287)="Declined"),"",COUNTIFS($X$7:X287,"?*",$U$7:U287,"&lt;&gt;Declined",$AI$7:AI287,1))</f>
        <v/>
      </c>
      <c r="AN287" s="95" t="str">
        <f aca="false">IF(AI287="","",IF(INDEX($L:$L,287)="",1,IF(COUNTIF($L$7:L287,INDEX($L:$L,287))=1,1,"")))</f>
        <v/>
      </c>
      <c r="AO287" s="95" t="str">
        <f aca="false">IF(AN287&lt;&gt;1,"",IF(INDEX($L:$L,287)="",IF(INDEX($S:$S,287)="Yes",1,""),IF(COUNTIFS($L$7:$L$506,INDEX($L:$L,287),$S$7:$S$506,"Yes")&gt;0,1,"")))</f>
        <v/>
      </c>
      <c r="AP287" s="95" t="str">
        <f aca="false">IF(AN287&lt;&gt;1,"",IF(INDEX($L:$L,287)&lt;&gt;"",INDEX($L:$L,287),TRIM(INDEX($D:$D,287)&amp;" "&amp;INDEX($C:$C,287))))</f>
        <v/>
      </c>
      <c r="AQ287" s="43" t="str">
        <f aca="false">IF(OR(AI287="",INDEX($I:$I,287)="Yes"),"",1)</f>
        <v/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customFormat="false" ht="21.75" hidden="false" customHeight="true" outlineLevel="0" collapsed="false">
      <c r="A288" s="1"/>
      <c r="B288" s="113" t="str">
        <f aca="false">IF(AI288="","",COUNT($AI$7:AI288))</f>
        <v/>
      </c>
      <c r="C288" s="114"/>
      <c r="D288" s="114"/>
      <c r="E288" s="114"/>
      <c r="F288" s="114"/>
      <c r="G288" s="115"/>
      <c r="H288" s="115"/>
      <c r="I288" s="115"/>
      <c r="J288" s="115"/>
      <c r="K288" s="115"/>
      <c r="L288" s="114"/>
      <c r="M288" s="114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4"/>
      <c r="Y288" s="114"/>
      <c r="Z288" s="115"/>
      <c r="AA288" s="114"/>
      <c r="AB288" s="114"/>
      <c r="AC288" s="115"/>
      <c r="AD288" s="116"/>
      <c r="AE288" s="114"/>
      <c r="AF288" s="114"/>
      <c r="AG288" s="114"/>
      <c r="AH288" s="1"/>
      <c r="AI288" s="95" t="str">
        <f aca="false">IF(INDEX($C:$C,288)&amp;INDEX($D:$D,288)="","",1)</f>
        <v/>
      </c>
      <c r="AJ288" s="95" t="str">
        <f aca="false">IF(OR(AI288="",INDEX($Z:$Z,288)="",INDEX($U:$U,288)="Declined"),"",1)</f>
        <v/>
      </c>
      <c r="AK288" s="95" t="str">
        <f aca="false">IF(AJ288="","",INDEX($Z:$Z,288)&amp;"-"&amp;COUNTIFS($Z$7:Z288,INDEX($Z:$Z,288),$AJ$7:AJ288,1))</f>
        <v/>
      </c>
      <c r="AL288" s="43" t="str">
        <f aca="false">IF(AI288="","",TRIM(INDEX($D:$D,288)&amp;" "&amp;INDEX($C:$C,288))&amp;IF(INDEX($I:$I,288)="Yes"," (child)",""))</f>
        <v/>
      </c>
      <c r="AM288" s="95" t="str">
        <f aca="false">IF(OR(AI288="",INDEX($X:$X,288)="",INDEX($U:$U,288)="Declined"),"",COUNTIFS($X$7:X288,"?*",$U$7:U288,"&lt;&gt;Declined",$AI$7:AI288,1))</f>
        <v/>
      </c>
      <c r="AN288" s="95" t="str">
        <f aca="false">IF(AI288="","",IF(INDEX($L:$L,288)="",1,IF(COUNTIF($L$7:L288,INDEX($L:$L,288))=1,1,"")))</f>
        <v/>
      </c>
      <c r="AO288" s="95" t="str">
        <f aca="false">IF(AN288&lt;&gt;1,"",IF(INDEX($L:$L,288)="",IF(INDEX($S:$S,288)="Yes",1,""),IF(COUNTIFS($L$7:$L$506,INDEX($L:$L,288),$S$7:$S$506,"Yes")&gt;0,1,"")))</f>
        <v/>
      </c>
      <c r="AP288" s="95" t="str">
        <f aca="false">IF(AN288&lt;&gt;1,"",IF(INDEX($L:$L,288)&lt;&gt;"",INDEX($L:$L,288),TRIM(INDEX($D:$D,288)&amp;" "&amp;INDEX($C:$C,288))))</f>
        <v/>
      </c>
      <c r="AQ288" s="43" t="str">
        <f aca="false">IF(OR(AI288="",INDEX($I:$I,288)="Yes"),"",1)</f>
        <v/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customFormat="false" ht="21.75" hidden="false" customHeight="true" outlineLevel="0" collapsed="false">
      <c r="A289" s="1"/>
      <c r="B289" s="113" t="str">
        <f aca="false">IF(AI289="","",COUNT($AI$7:AI289))</f>
        <v/>
      </c>
      <c r="C289" s="114"/>
      <c r="D289" s="114"/>
      <c r="E289" s="114"/>
      <c r="F289" s="114"/>
      <c r="G289" s="115"/>
      <c r="H289" s="115"/>
      <c r="I289" s="115"/>
      <c r="J289" s="115"/>
      <c r="K289" s="115"/>
      <c r="L289" s="114"/>
      <c r="M289" s="114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4"/>
      <c r="Y289" s="114"/>
      <c r="Z289" s="115"/>
      <c r="AA289" s="114"/>
      <c r="AB289" s="114"/>
      <c r="AC289" s="115"/>
      <c r="AD289" s="116"/>
      <c r="AE289" s="114"/>
      <c r="AF289" s="114"/>
      <c r="AG289" s="114"/>
      <c r="AH289" s="1"/>
      <c r="AI289" s="95" t="str">
        <f aca="false">IF(INDEX($C:$C,289)&amp;INDEX($D:$D,289)="","",1)</f>
        <v/>
      </c>
      <c r="AJ289" s="95" t="str">
        <f aca="false">IF(OR(AI289="",INDEX($Z:$Z,289)="",INDEX($U:$U,289)="Declined"),"",1)</f>
        <v/>
      </c>
      <c r="AK289" s="95" t="str">
        <f aca="false">IF(AJ289="","",INDEX($Z:$Z,289)&amp;"-"&amp;COUNTIFS($Z$7:Z289,INDEX($Z:$Z,289),$AJ$7:AJ289,1))</f>
        <v/>
      </c>
      <c r="AL289" s="43" t="str">
        <f aca="false">IF(AI289="","",TRIM(INDEX($D:$D,289)&amp;" "&amp;INDEX($C:$C,289))&amp;IF(INDEX($I:$I,289)="Yes"," (child)",""))</f>
        <v/>
      </c>
      <c r="AM289" s="95" t="str">
        <f aca="false">IF(OR(AI289="",INDEX($X:$X,289)="",INDEX($U:$U,289)="Declined"),"",COUNTIFS($X$7:X289,"?*",$U$7:U289,"&lt;&gt;Declined",$AI$7:AI289,1))</f>
        <v/>
      </c>
      <c r="AN289" s="95" t="str">
        <f aca="false">IF(AI289="","",IF(INDEX($L:$L,289)="",1,IF(COUNTIF($L$7:L289,INDEX($L:$L,289))=1,1,"")))</f>
        <v/>
      </c>
      <c r="AO289" s="95" t="str">
        <f aca="false">IF(AN289&lt;&gt;1,"",IF(INDEX($L:$L,289)="",IF(INDEX($S:$S,289)="Yes",1,""),IF(COUNTIFS($L$7:$L$506,INDEX($L:$L,289),$S$7:$S$506,"Yes")&gt;0,1,"")))</f>
        <v/>
      </c>
      <c r="AP289" s="95" t="str">
        <f aca="false">IF(AN289&lt;&gt;1,"",IF(INDEX($L:$L,289)&lt;&gt;"",INDEX($L:$L,289),TRIM(INDEX($D:$D,289)&amp;" "&amp;INDEX($C:$C,289))))</f>
        <v/>
      </c>
      <c r="AQ289" s="43" t="str">
        <f aca="false">IF(OR(AI289="",INDEX($I:$I,289)="Yes"),"",1)</f>
        <v/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customFormat="false" ht="21.75" hidden="false" customHeight="true" outlineLevel="0" collapsed="false">
      <c r="A290" s="1"/>
      <c r="B290" s="113" t="str">
        <f aca="false">IF(AI290="","",COUNT($AI$7:AI290))</f>
        <v/>
      </c>
      <c r="C290" s="114"/>
      <c r="D290" s="114"/>
      <c r="E290" s="114"/>
      <c r="F290" s="114"/>
      <c r="G290" s="115"/>
      <c r="H290" s="115"/>
      <c r="I290" s="115"/>
      <c r="J290" s="115"/>
      <c r="K290" s="115"/>
      <c r="L290" s="114"/>
      <c r="M290" s="114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4"/>
      <c r="Y290" s="114"/>
      <c r="Z290" s="115"/>
      <c r="AA290" s="114"/>
      <c r="AB290" s="114"/>
      <c r="AC290" s="115"/>
      <c r="AD290" s="116"/>
      <c r="AE290" s="114"/>
      <c r="AF290" s="114"/>
      <c r="AG290" s="114"/>
      <c r="AH290" s="1"/>
      <c r="AI290" s="95" t="str">
        <f aca="false">IF(INDEX($C:$C,290)&amp;INDEX($D:$D,290)="","",1)</f>
        <v/>
      </c>
      <c r="AJ290" s="95" t="str">
        <f aca="false">IF(OR(AI290="",INDEX($Z:$Z,290)="",INDEX($U:$U,290)="Declined"),"",1)</f>
        <v/>
      </c>
      <c r="AK290" s="95" t="str">
        <f aca="false">IF(AJ290="","",INDEX($Z:$Z,290)&amp;"-"&amp;COUNTIFS($Z$7:Z290,INDEX($Z:$Z,290),$AJ$7:AJ290,1))</f>
        <v/>
      </c>
      <c r="AL290" s="43" t="str">
        <f aca="false">IF(AI290="","",TRIM(INDEX($D:$D,290)&amp;" "&amp;INDEX($C:$C,290))&amp;IF(INDEX($I:$I,290)="Yes"," (child)",""))</f>
        <v/>
      </c>
      <c r="AM290" s="95" t="str">
        <f aca="false">IF(OR(AI290="",INDEX($X:$X,290)="",INDEX($U:$U,290)="Declined"),"",COUNTIFS($X$7:X290,"?*",$U$7:U290,"&lt;&gt;Declined",$AI$7:AI290,1))</f>
        <v/>
      </c>
      <c r="AN290" s="95" t="str">
        <f aca="false">IF(AI290="","",IF(INDEX($L:$L,290)="",1,IF(COUNTIF($L$7:L290,INDEX($L:$L,290))=1,1,"")))</f>
        <v/>
      </c>
      <c r="AO290" s="95" t="str">
        <f aca="false">IF(AN290&lt;&gt;1,"",IF(INDEX($L:$L,290)="",IF(INDEX($S:$S,290)="Yes",1,""),IF(COUNTIFS($L$7:$L$506,INDEX($L:$L,290),$S$7:$S$506,"Yes")&gt;0,1,"")))</f>
        <v/>
      </c>
      <c r="AP290" s="95" t="str">
        <f aca="false">IF(AN290&lt;&gt;1,"",IF(INDEX($L:$L,290)&lt;&gt;"",INDEX($L:$L,290),TRIM(INDEX($D:$D,290)&amp;" "&amp;INDEX($C:$C,290))))</f>
        <v/>
      </c>
      <c r="AQ290" s="43" t="str">
        <f aca="false">IF(OR(AI290="",INDEX($I:$I,290)="Yes"),"",1)</f>
        <v/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customFormat="false" ht="21.75" hidden="false" customHeight="true" outlineLevel="0" collapsed="false">
      <c r="A291" s="1"/>
      <c r="B291" s="113" t="str">
        <f aca="false">IF(AI291="","",COUNT($AI$7:AI291))</f>
        <v/>
      </c>
      <c r="C291" s="114"/>
      <c r="D291" s="114"/>
      <c r="E291" s="114"/>
      <c r="F291" s="114"/>
      <c r="G291" s="115"/>
      <c r="H291" s="115"/>
      <c r="I291" s="115"/>
      <c r="J291" s="115"/>
      <c r="K291" s="115"/>
      <c r="L291" s="114"/>
      <c r="M291" s="114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4"/>
      <c r="Y291" s="114"/>
      <c r="Z291" s="115"/>
      <c r="AA291" s="114"/>
      <c r="AB291" s="114"/>
      <c r="AC291" s="115"/>
      <c r="AD291" s="116"/>
      <c r="AE291" s="114"/>
      <c r="AF291" s="114"/>
      <c r="AG291" s="114"/>
      <c r="AH291" s="1"/>
      <c r="AI291" s="95" t="str">
        <f aca="false">IF(INDEX($C:$C,291)&amp;INDEX($D:$D,291)="","",1)</f>
        <v/>
      </c>
      <c r="AJ291" s="95" t="str">
        <f aca="false">IF(OR(AI291="",INDEX($Z:$Z,291)="",INDEX($U:$U,291)="Declined"),"",1)</f>
        <v/>
      </c>
      <c r="AK291" s="95" t="str">
        <f aca="false">IF(AJ291="","",INDEX($Z:$Z,291)&amp;"-"&amp;COUNTIFS($Z$7:Z291,INDEX($Z:$Z,291),$AJ$7:AJ291,1))</f>
        <v/>
      </c>
      <c r="AL291" s="43" t="str">
        <f aca="false">IF(AI291="","",TRIM(INDEX($D:$D,291)&amp;" "&amp;INDEX($C:$C,291))&amp;IF(INDEX($I:$I,291)="Yes"," (child)",""))</f>
        <v/>
      </c>
      <c r="AM291" s="95" t="str">
        <f aca="false">IF(OR(AI291="",INDEX($X:$X,291)="",INDEX($U:$U,291)="Declined"),"",COUNTIFS($X$7:X291,"?*",$U$7:U291,"&lt;&gt;Declined",$AI$7:AI291,1))</f>
        <v/>
      </c>
      <c r="AN291" s="95" t="str">
        <f aca="false">IF(AI291="","",IF(INDEX($L:$L,291)="",1,IF(COUNTIF($L$7:L291,INDEX($L:$L,291))=1,1,"")))</f>
        <v/>
      </c>
      <c r="AO291" s="95" t="str">
        <f aca="false">IF(AN291&lt;&gt;1,"",IF(INDEX($L:$L,291)="",IF(INDEX($S:$S,291)="Yes",1,""),IF(COUNTIFS($L$7:$L$506,INDEX($L:$L,291),$S$7:$S$506,"Yes")&gt;0,1,"")))</f>
        <v/>
      </c>
      <c r="AP291" s="95" t="str">
        <f aca="false">IF(AN291&lt;&gt;1,"",IF(INDEX($L:$L,291)&lt;&gt;"",INDEX($L:$L,291),TRIM(INDEX($D:$D,291)&amp;" "&amp;INDEX($C:$C,291))))</f>
        <v/>
      </c>
      <c r="AQ291" s="43" t="str">
        <f aca="false">IF(OR(AI291="",INDEX($I:$I,291)="Yes"),"",1)</f>
        <v/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customFormat="false" ht="21.75" hidden="false" customHeight="true" outlineLevel="0" collapsed="false">
      <c r="A292" s="1"/>
      <c r="B292" s="113" t="str">
        <f aca="false">IF(AI292="","",COUNT($AI$7:AI292))</f>
        <v/>
      </c>
      <c r="C292" s="114"/>
      <c r="D292" s="114"/>
      <c r="E292" s="114"/>
      <c r="F292" s="114"/>
      <c r="G292" s="115"/>
      <c r="H292" s="115"/>
      <c r="I292" s="115"/>
      <c r="J292" s="115"/>
      <c r="K292" s="115"/>
      <c r="L292" s="114"/>
      <c r="M292" s="114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4"/>
      <c r="Y292" s="114"/>
      <c r="Z292" s="115"/>
      <c r="AA292" s="114"/>
      <c r="AB292" s="114"/>
      <c r="AC292" s="115"/>
      <c r="AD292" s="116"/>
      <c r="AE292" s="114"/>
      <c r="AF292" s="114"/>
      <c r="AG292" s="114"/>
      <c r="AH292" s="1"/>
      <c r="AI292" s="95" t="str">
        <f aca="false">IF(INDEX($C:$C,292)&amp;INDEX($D:$D,292)="","",1)</f>
        <v/>
      </c>
      <c r="AJ292" s="95" t="str">
        <f aca="false">IF(OR(AI292="",INDEX($Z:$Z,292)="",INDEX($U:$U,292)="Declined"),"",1)</f>
        <v/>
      </c>
      <c r="AK292" s="95" t="str">
        <f aca="false">IF(AJ292="","",INDEX($Z:$Z,292)&amp;"-"&amp;COUNTIFS($Z$7:Z292,INDEX($Z:$Z,292),$AJ$7:AJ292,1))</f>
        <v/>
      </c>
      <c r="AL292" s="43" t="str">
        <f aca="false">IF(AI292="","",TRIM(INDEX($D:$D,292)&amp;" "&amp;INDEX($C:$C,292))&amp;IF(INDEX($I:$I,292)="Yes"," (child)",""))</f>
        <v/>
      </c>
      <c r="AM292" s="95" t="str">
        <f aca="false">IF(OR(AI292="",INDEX($X:$X,292)="",INDEX($U:$U,292)="Declined"),"",COUNTIFS($X$7:X292,"?*",$U$7:U292,"&lt;&gt;Declined",$AI$7:AI292,1))</f>
        <v/>
      </c>
      <c r="AN292" s="95" t="str">
        <f aca="false">IF(AI292="","",IF(INDEX($L:$L,292)="",1,IF(COUNTIF($L$7:L292,INDEX($L:$L,292))=1,1,"")))</f>
        <v/>
      </c>
      <c r="AO292" s="95" t="str">
        <f aca="false">IF(AN292&lt;&gt;1,"",IF(INDEX($L:$L,292)="",IF(INDEX($S:$S,292)="Yes",1,""),IF(COUNTIFS($L$7:$L$506,INDEX($L:$L,292),$S$7:$S$506,"Yes")&gt;0,1,"")))</f>
        <v/>
      </c>
      <c r="AP292" s="95" t="str">
        <f aca="false">IF(AN292&lt;&gt;1,"",IF(INDEX($L:$L,292)&lt;&gt;"",INDEX($L:$L,292),TRIM(INDEX($D:$D,292)&amp;" "&amp;INDEX($C:$C,292))))</f>
        <v/>
      </c>
      <c r="AQ292" s="43" t="str">
        <f aca="false">IF(OR(AI292="",INDEX($I:$I,292)="Yes"),"",1)</f>
        <v/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customFormat="false" ht="21.75" hidden="false" customHeight="true" outlineLevel="0" collapsed="false">
      <c r="A293" s="1"/>
      <c r="B293" s="113" t="str">
        <f aca="false">IF(AI293="","",COUNT($AI$7:AI293))</f>
        <v/>
      </c>
      <c r="C293" s="114"/>
      <c r="D293" s="114"/>
      <c r="E293" s="114"/>
      <c r="F293" s="114"/>
      <c r="G293" s="115"/>
      <c r="H293" s="115"/>
      <c r="I293" s="115"/>
      <c r="J293" s="115"/>
      <c r="K293" s="115"/>
      <c r="L293" s="114"/>
      <c r="M293" s="114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4"/>
      <c r="Y293" s="114"/>
      <c r="Z293" s="115"/>
      <c r="AA293" s="114"/>
      <c r="AB293" s="114"/>
      <c r="AC293" s="115"/>
      <c r="AD293" s="116"/>
      <c r="AE293" s="114"/>
      <c r="AF293" s="114"/>
      <c r="AG293" s="114"/>
      <c r="AH293" s="1"/>
      <c r="AI293" s="95" t="str">
        <f aca="false">IF(INDEX($C:$C,293)&amp;INDEX($D:$D,293)="","",1)</f>
        <v/>
      </c>
      <c r="AJ293" s="95" t="str">
        <f aca="false">IF(OR(AI293="",INDEX($Z:$Z,293)="",INDEX($U:$U,293)="Declined"),"",1)</f>
        <v/>
      </c>
      <c r="AK293" s="95" t="str">
        <f aca="false">IF(AJ293="","",INDEX($Z:$Z,293)&amp;"-"&amp;COUNTIFS($Z$7:Z293,INDEX($Z:$Z,293),$AJ$7:AJ293,1))</f>
        <v/>
      </c>
      <c r="AL293" s="43" t="str">
        <f aca="false">IF(AI293="","",TRIM(INDEX($D:$D,293)&amp;" "&amp;INDEX($C:$C,293))&amp;IF(INDEX($I:$I,293)="Yes"," (child)",""))</f>
        <v/>
      </c>
      <c r="AM293" s="95" t="str">
        <f aca="false">IF(OR(AI293="",INDEX($X:$X,293)="",INDEX($U:$U,293)="Declined"),"",COUNTIFS($X$7:X293,"?*",$U$7:U293,"&lt;&gt;Declined",$AI$7:AI293,1))</f>
        <v/>
      </c>
      <c r="AN293" s="95" t="str">
        <f aca="false">IF(AI293="","",IF(INDEX($L:$L,293)="",1,IF(COUNTIF($L$7:L293,INDEX($L:$L,293))=1,1,"")))</f>
        <v/>
      </c>
      <c r="AO293" s="95" t="str">
        <f aca="false">IF(AN293&lt;&gt;1,"",IF(INDEX($L:$L,293)="",IF(INDEX($S:$S,293)="Yes",1,""),IF(COUNTIFS($L$7:$L$506,INDEX($L:$L,293),$S$7:$S$506,"Yes")&gt;0,1,"")))</f>
        <v/>
      </c>
      <c r="AP293" s="95" t="str">
        <f aca="false">IF(AN293&lt;&gt;1,"",IF(INDEX($L:$L,293)&lt;&gt;"",INDEX($L:$L,293),TRIM(INDEX($D:$D,293)&amp;" "&amp;INDEX($C:$C,293))))</f>
        <v/>
      </c>
      <c r="AQ293" s="43" t="str">
        <f aca="false">IF(OR(AI293="",INDEX($I:$I,293)="Yes"),"",1)</f>
        <v/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customFormat="false" ht="21.75" hidden="false" customHeight="true" outlineLevel="0" collapsed="false">
      <c r="A294" s="1"/>
      <c r="B294" s="113" t="str">
        <f aca="false">IF(AI294="","",COUNT($AI$7:AI294))</f>
        <v/>
      </c>
      <c r="C294" s="114"/>
      <c r="D294" s="114"/>
      <c r="E294" s="114"/>
      <c r="F294" s="114"/>
      <c r="G294" s="115"/>
      <c r="H294" s="115"/>
      <c r="I294" s="115"/>
      <c r="J294" s="115"/>
      <c r="K294" s="115"/>
      <c r="L294" s="114"/>
      <c r="M294" s="114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4"/>
      <c r="Y294" s="114"/>
      <c r="Z294" s="115"/>
      <c r="AA294" s="114"/>
      <c r="AB294" s="114"/>
      <c r="AC294" s="115"/>
      <c r="AD294" s="116"/>
      <c r="AE294" s="114"/>
      <c r="AF294" s="114"/>
      <c r="AG294" s="114"/>
      <c r="AH294" s="1"/>
      <c r="AI294" s="95" t="str">
        <f aca="false">IF(INDEX($C:$C,294)&amp;INDEX($D:$D,294)="","",1)</f>
        <v/>
      </c>
      <c r="AJ294" s="95" t="str">
        <f aca="false">IF(OR(AI294="",INDEX($Z:$Z,294)="",INDEX($U:$U,294)="Declined"),"",1)</f>
        <v/>
      </c>
      <c r="AK294" s="95" t="str">
        <f aca="false">IF(AJ294="","",INDEX($Z:$Z,294)&amp;"-"&amp;COUNTIFS($Z$7:Z294,INDEX($Z:$Z,294),$AJ$7:AJ294,1))</f>
        <v/>
      </c>
      <c r="AL294" s="43" t="str">
        <f aca="false">IF(AI294="","",TRIM(INDEX($D:$D,294)&amp;" "&amp;INDEX($C:$C,294))&amp;IF(INDEX($I:$I,294)="Yes"," (child)",""))</f>
        <v/>
      </c>
      <c r="AM294" s="95" t="str">
        <f aca="false">IF(OR(AI294="",INDEX($X:$X,294)="",INDEX($U:$U,294)="Declined"),"",COUNTIFS($X$7:X294,"?*",$U$7:U294,"&lt;&gt;Declined",$AI$7:AI294,1))</f>
        <v/>
      </c>
      <c r="AN294" s="95" t="str">
        <f aca="false">IF(AI294="","",IF(INDEX($L:$L,294)="",1,IF(COUNTIF($L$7:L294,INDEX($L:$L,294))=1,1,"")))</f>
        <v/>
      </c>
      <c r="AO294" s="95" t="str">
        <f aca="false">IF(AN294&lt;&gt;1,"",IF(INDEX($L:$L,294)="",IF(INDEX($S:$S,294)="Yes",1,""),IF(COUNTIFS($L$7:$L$506,INDEX($L:$L,294),$S$7:$S$506,"Yes")&gt;0,1,"")))</f>
        <v/>
      </c>
      <c r="AP294" s="95" t="str">
        <f aca="false">IF(AN294&lt;&gt;1,"",IF(INDEX($L:$L,294)&lt;&gt;"",INDEX($L:$L,294),TRIM(INDEX($D:$D,294)&amp;" "&amp;INDEX($C:$C,294))))</f>
        <v/>
      </c>
      <c r="AQ294" s="43" t="str">
        <f aca="false">IF(OR(AI294="",INDEX($I:$I,294)="Yes"),"",1)</f>
        <v/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customFormat="false" ht="21.75" hidden="false" customHeight="true" outlineLevel="0" collapsed="false">
      <c r="A295" s="1"/>
      <c r="B295" s="113" t="str">
        <f aca="false">IF(AI295="","",COUNT($AI$7:AI295))</f>
        <v/>
      </c>
      <c r="C295" s="114"/>
      <c r="D295" s="114"/>
      <c r="E295" s="114"/>
      <c r="F295" s="114"/>
      <c r="G295" s="115"/>
      <c r="H295" s="115"/>
      <c r="I295" s="115"/>
      <c r="J295" s="115"/>
      <c r="K295" s="115"/>
      <c r="L295" s="114"/>
      <c r="M295" s="114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4"/>
      <c r="Y295" s="114"/>
      <c r="Z295" s="115"/>
      <c r="AA295" s="114"/>
      <c r="AB295" s="114"/>
      <c r="AC295" s="115"/>
      <c r="AD295" s="116"/>
      <c r="AE295" s="114"/>
      <c r="AF295" s="114"/>
      <c r="AG295" s="114"/>
      <c r="AH295" s="1"/>
      <c r="AI295" s="95" t="str">
        <f aca="false">IF(INDEX($C:$C,295)&amp;INDEX($D:$D,295)="","",1)</f>
        <v/>
      </c>
      <c r="AJ295" s="95" t="str">
        <f aca="false">IF(OR(AI295="",INDEX($Z:$Z,295)="",INDEX($U:$U,295)="Declined"),"",1)</f>
        <v/>
      </c>
      <c r="AK295" s="95" t="str">
        <f aca="false">IF(AJ295="","",INDEX($Z:$Z,295)&amp;"-"&amp;COUNTIFS($Z$7:Z295,INDEX($Z:$Z,295),$AJ$7:AJ295,1))</f>
        <v/>
      </c>
      <c r="AL295" s="43" t="str">
        <f aca="false">IF(AI295="","",TRIM(INDEX($D:$D,295)&amp;" "&amp;INDEX($C:$C,295))&amp;IF(INDEX($I:$I,295)="Yes"," (child)",""))</f>
        <v/>
      </c>
      <c r="AM295" s="95" t="str">
        <f aca="false">IF(OR(AI295="",INDEX($X:$X,295)="",INDEX($U:$U,295)="Declined"),"",COUNTIFS($X$7:X295,"?*",$U$7:U295,"&lt;&gt;Declined",$AI$7:AI295,1))</f>
        <v/>
      </c>
      <c r="AN295" s="95" t="str">
        <f aca="false">IF(AI295="","",IF(INDEX($L:$L,295)="",1,IF(COUNTIF($L$7:L295,INDEX($L:$L,295))=1,1,"")))</f>
        <v/>
      </c>
      <c r="AO295" s="95" t="str">
        <f aca="false">IF(AN295&lt;&gt;1,"",IF(INDEX($L:$L,295)="",IF(INDEX($S:$S,295)="Yes",1,""),IF(COUNTIFS($L$7:$L$506,INDEX($L:$L,295),$S$7:$S$506,"Yes")&gt;0,1,"")))</f>
        <v/>
      </c>
      <c r="AP295" s="95" t="str">
        <f aca="false">IF(AN295&lt;&gt;1,"",IF(INDEX($L:$L,295)&lt;&gt;"",INDEX($L:$L,295),TRIM(INDEX($D:$D,295)&amp;" "&amp;INDEX($C:$C,295))))</f>
        <v/>
      </c>
      <c r="AQ295" s="43" t="str">
        <f aca="false">IF(OR(AI295="",INDEX($I:$I,295)="Yes"),"",1)</f>
        <v/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customFormat="false" ht="21.75" hidden="false" customHeight="true" outlineLevel="0" collapsed="false">
      <c r="A296" s="1"/>
      <c r="B296" s="113" t="str">
        <f aca="false">IF(AI296="","",COUNT($AI$7:AI296))</f>
        <v/>
      </c>
      <c r="C296" s="114"/>
      <c r="D296" s="114"/>
      <c r="E296" s="114"/>
      <c r="F296" s="114"/>
      <c r="G296" s="115"/>
      <c r="H296" s="115"/>
      <c r="I296" s="115"/>
      <c r="J296" s="115"/>
      <c r="K296" s="115"/>
      <c r="L296" s="114"/>
      <c r="M296" s="114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4"/>
      <c r="Y296" s="114"/>
      <c r="Z296" s="115"/>
      <c r="AA296" s="114"/>
      <c r="AB296" s="114"/>
      <c r="AC296" s="115"/>
      <c r="AD296" s="116"/>
      <c r="AE296" s="114"/>
      <c r="AF296" s="114"/>
      <c r="AG296" s="114"/>
      <c r="AH296" s="1"/>
      <c r="AI296" s="95" t="str">
        <f aca="false">IF(INDEX($C:$C,296)&amp;INDEX($D:$D,296)="","",1)</f>
        <v/>
      </c>
      <c r="AJ296" s="95" t="str">
        <f aca="false">IF(OR(AI296="",INDEX($Z:$Z,296)="",INDEX($U:$U,296)="Declined"),"",1)</f>
        <v/>
      </c>
      <c r="AK296" s="95" t="str">
        <f aca="false">IF(AJ296="","",INDEX($Z:$Z,296)&amp;"-"&amp;COUNTIFS($Z$7:Z296,INDEX($Z:$Z,296),$AJ$7:AJ296,1))</f>
        <v/>
      </c>
      <c r="AL296" s="43" t="str">
        <f aca="false">IF(AI296="","",TRIM(INDEX($D:$D,296)&amp;" "&amp;INDEX($C:$C,296))&amp;IF(INDEX($I:$I,296)="Yes"," (child)",""))</f>
        <v/>
      </c>
      <c r="AM296" s="95" t="str">
        <f aca="false">IF(OR(AI296="",INDEX($X:$X,296)="",INDEX($U:$U,296)="Declined"),"",COUNTIFS($X$7:X296,"?*",$U$7:U296,"&lt;&gt;Declined",$AI$7:AI296,1))</f>
        <v/>
      </c>
      <c r="AN296" s="95" t="str">
        <f aca="false">IF(AI296="","",IF(INDEX($L:$L,296)="",1,IF(COUNTIF($L$7:L296,INDEX($L:$L,296))=1,1,"")))</f>
        <v/>
      </c>
      <c r="AO296" s="95" t="str">
        <f aca="false">IF(AN296&lt;&gt;1,"",IF(INDEX($L:$L,296)="",IF(INDEX($S:$S,296)="Yes",1,""),IF(COUNTIFS($L$7:$L$506,INDEX($L:$L,296),$S$7:$S$506,"Yes")&gt;0,1,"")))</f>
        <v/>
      </c>
      <c r="AP296" s="95" t="str">
        <f aca="false">IF(AN296&lt;&gt;1,"",IF(INDEX($L:$L,296)&lt;&gt;"",INDEX($L:$L,296),TRIM(INDEX($D:$D,296)&amp;" "&amp;INDEX($C:$C,296))))</f>
        <v/>
      </c>
      <c r="AQ296" s="43" t="str">
        <f aca="false">IF(OR(AI296="",INDEX($I:$I,296)="Yes"),"",1)</f>
        <v/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customFormat="false" ht="21.75" hidden="false" customHeight="true" outlineLevel="0" collapsed="false">
      <c r="A297" s="1"/>
      <c r="B297" s="113" t="str">
        <f aca="false">IF(AI297="","",COUNT($AI$7:AI297))</f>
        <v/>
      </c>
      <c r="C297" s="114"/>
      <c r="D297" s="114"/>
      <c r="E297" s="114"/>
      <c r="F297" s="114"/>
      <c r="G297" s="115"/>
      <c r="H297" s="115"/>
      <c r="I297" s="115"/>
      <c r="J297" s="115"/>
      <c r="K297" s="115"/>
      <c r="L297" s="114"/>
      <c r="M297" s="114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4"/>
      <c r="Y297" s="114"/>
      <c r="Z297" s="115"/>
      <c r="AA297" s="114"/>
      <c r="AB297" s="114"/>
      <c r="AC297" s="115"/>
      <c r="AD297" s="116"/>
      <c r="AE297" s="114"/>
      <c r="AF297" s="114"/>
      <c r="AG297" s="114"/>
      <c r="AH297" s="1"/>
      <c r="AI297" s="95" t="str">
        <f aca="false">IF(INDEX($C:$C,297)&amp;INDEX($D:$D,297)="","",1)</f>
        <v/>
      </c>
      <c r="AJ297" s="95" t="str">
        <f aca="false">IF(OR(AI297="",INDEX($Z:$Z,297)="",INDEX($U:$U,297)="Declined"),"",1)</f>
        <v/>
      </c>
      <c r="AK297" s="95" t="str">
        <f aca="false">IF(AJ297="","",INDEX($Z:$Z,297)&amp;"-"&amp;COUNTIFS($Z$7:Z297,INDEX($Z:$Z,297),$AJ$7:AJ297,1))</f>
        <v/>
      </c>
      <c r="AL297" s="43" t="str">
        <f aca="false">IF(AI297="","",TRIM(INDEX($D:$D,297)&amp;" "&amp;INDEX($C:$C,297))&amp;IF(INDEX($I:$I,297)="Yes"," (child)",""))</f>
        <v/>
      </c>
      <c r="AM297" s="95" t="str">
        <f aca="false">IF(OR(AI297="",INDEX($X:$X,297)="",INDEX($U:$U,297)="Declined"),"",COUNTIFS($X$7:X297,"?*",$U$7:U297,"&lt;&gt;Declined",$AI$7:AI297,1))</f>
        <v/>
      </c>
      <c r="AN297" s="95" t="str">
        <f aca="false">IF(AI297="","",IF(INDEX($L:$L,297)="",1,IF(COUNTIF($L$7:L297,INDEX($L:$L,297))=1,1,"")))</f>
        <v/>
      </c>
      <c r="AO297" s="95" t="str">
        <f aca="false">IF(AN297&lt;&gt;1,"",IF(INDEX($L:$L,297)="",IF(INDEX($S:$S,297)="Yes",1,""),IF(COUNTIFS($L$7:$L$506,INDEX($L:$L,297),$S$7:$S$506,"Yes")&gt;0,1,"")))</f>
        <v/>
      </c>
      <c r="AP297" s="95" t="str">
        <f aca="false">IF(AN297&lt;&gt;1,"",IF(INDEX($L:$L,297)&lt;&gt;"",INDEX($L:$L,297),TRIM(INDEX($D:$D,297)&amp;" "&amp;INDEX($C:$C,297))))</f>
        <v/>
      </c>
      <c r="AQ297" s="43" t="str">
        <f aca="false">IF(OR(AI297="",INDEX($I:$I,297)="Yes"),"",1)</f>
        <v/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customFormat="false" ht="21.75" hidden="false" customHeight="true" outlineLevel="0" collapsed="false">
      <c r="A298" s="1"/>
      <c r="B298" s="113" t="str">
        <f aca="false">IF(AI298="","",COUNT($AI$7:AI298))</f>
        <v/>
      </c>
      <c r="C298" s="114"/>
      <c r="D298" s="114"/>
      <c r="E298" s="114"/>
      <c r="F298" s="114"/>
      <c r="G298" s="115"/>
      <c r="H298" s="115"/>
      <c r="I298" s="115"/>
      <c r="J298" s="115"/>
      <c r="K298" s="115"/>
      <c r="L298" s="114"/>
      <c r="M298" s="114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4"/>
      <c r="Y298" s="114"/>
      <c r="Z298" s="115"/>
      <c r="AA298" s="114"/>
      <c r="AB298" s="114"/>
      <c r="AC298" s="115"/>
      <c r="AD298" s="116"/>
      <c r="AE298" s="114"/>
      <c r="AF298" s="114"/>
      <c r="AG298" s="114"/>
      <c r="AH298" s="1"/>
      <c r="AI298" s="95" t="str">
        <f aca="false">IF(INDEX($C:$C,298)&amp;INDEX($D:$D,298)="","",1)</f>
        <v/>
      </c>
      <c r="AJ298" s="95" t="str">
        <f aca="false">IF(OR(AI298="",INDEX($Z:$Z,298)="",INDEX($U:$U,298)="Declined"),"",1)</f>
        <v/>
      </c>
      <c r="AK298" s="95" t="str">
        <f aca="false">IF(AJ298="","",INDEX($Z:$Z,298)&amp;"-"&amp;COUNTIFS($Z$7:Z298,INDEX($Z:$Z,298),$AJ$7:AJ298,1))</f>
        <v/>
      </c>
      <c r="AL298" s="43" t="str">
        <f aca="false">IF(AI298="","",TRIM(INDEX($D:$D,298)&amp;" "&amp;INDEX($C:$C,298))&amp;IF(INDEX($I:$I,298)="Yes"," (child)",""))</f>
        <v/>
      </c>
      <c r="AM298" s="95" t="str">
        <f aca="false">IF(OR(AI298="",INDEX($X:$X,298)="",INDEX($U:$U,298)="Declined"),"",COUNTIFS($X$7:X298,"?*",$U$7:U298,"&lt;&gt;Declined",$AI$7:AI298,1))</f>
        <v/>
      </c>
      <c r="AN298" s="95" t="str">
        <f aca="false">IF(AI298="","",IF(INDEX($L:$L,298)="",1,IF(COUNTIF($L$7:L298,INDEX($L:$L,298))=1,1,"")))</f>
        <v/>
      </c>
      <c r="AO298" s="95" t="str">
        <f aca="false">IF(AN298&lt;&gt;1,"",IF(INDEX($L:$L,298)="",IF(INDEX($S:$S,298)="Yes",1,""),IF(COUNTIFS($L$7:$L$506,INDEX($L:$L,298),$S$7:$S$506,"Yes")&gt;0,1,"")))</f>
        <v/>
      </c>
      <c r="AP298" s="95" t="str">
        <f aca="false">IF(AN298&lt;&gt;1,"",IF(INDEX($L:$L,298)&lt;&gt;"",INDEX($L:$L,298),TRIM(INDEX($D:$D,298)&amp;" "&amp;INDEX($C:$C,298))))</f>
        <v/>
      </c>
      <c r="AQ298" s="43" t="str">
        <f aca="false">IF(OR(AI298="",INDEX($I:$I,298)="Yes"),"",1)</f>
        <v/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customFormat="false" ht="21.75" hidden="false" customHeight="true" outlineLevel="0" collapsed="false">
      <c r="A299" s="1"/>
      <c r="B299" s="113" t="str">
        <f aca="false">IF(AI299="","",COUNT($AI$7:AI299))</f>
        <v/>
      </c>
      <c r="C299" s="114"/>
      <c r="D299" s="114"/>
      <c r="E299" s="114"/>
      <c r="F299" s="114"/>
      <c r="G299" s="115"/>
      <c r="H299" s="115"/>
      <c r="I299" s="115"/>
      <c r="J299" s="115"/>
      <c r="K299" s="115"/>
      <c r="L299" s="114"/>
      <c r="M299" s="114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4"/>
      <c r="Y299" s="114"/>
      <c r="Z299" s="115"/>
      <c r="AA299" s="114"/>
      <c r="AB299" s="114"/>
      <c r="AC299" s="115"/>
      <c r="AD299" s="116"/>
      <c r="AE299" s="114"/>
      <c r="AF299" s="114"/>
      <c r="AG299" s="114"/>
      <c r="AH299" s="1"/>
      <c r="AI299" s="95" t="str">
        <f aca="false">IF(INDEX($C:$C,299)&amp;INDEX($D:$D,299)="","",1)</f>
        <v/>
      </c>
      <c r="AJ299" s="95" t="str">
        <f aca="false">IF(OR(AI299="",INDEX($Z:$Z,299)="",INDEX($U:$U,299)="Declined"),"",1)</f>
        <v/>
      </c>
      <c r="AK299" s="95" t="str">
        <f aca="false">IF(AJ299="","",INDEX($Z:$Z,299)&amp;"-"&amp;COUNTIFS($Z$7:Z299,INDEX($Z:$Z,299),$AJ$7:AJ299,1))</f>
        <v/>
      </c>
      <c r="AL299" s="43" t="str">
        <f aca="false">IF(AI299="","",TRIM(INDEX($D:$D,299)&amp;" "&amp;INDEX($C:$C,299))&amp;IF(INDEX($I:$I,299)="Yes"," (child)",""))</f>
        <v/>
      </c>
      <c r="AM299" s="95" t="str">
        <f aca="false">IF(OR(AI299="",INDEX($X:$X,299)="",INDEX($U:$U,299)="Declined"),"",COUNTIFS($X$7:X299,"?*",$U$7:U299,"&lt;&gt;Declined",$AI$7:AI299,1))</f>
        <v/>
      </c>
      <c r="AN299" s="95" t="str">
        <f aca="false">IF(AI299="","",IF(INDEX($L:$L,299)="",1,IF(COUNTIF($L$7:L299,INDEX($L:$L,299))=1,1,"")))</f>
        <v/>
      </c>
      <c r="AO299" s="95" t="str">
        <f aca="false">IF(AN299&lt;&gt;1,"",IF(INDEX($L:$L,299)="",IF(INDEX($S:$S,299)="Yes",1,""),IF(COUNTIFS($L$7:$L$506,INDEX($L:$L,299),$S$7:$S$506,"Yes")&gt;0,1,"")))</f>
        <v/>
      </c>
      <c r="AP299" s="95" t="str">
        <f aca="false">IF(AN299&lt;&gt;1,"",IF(INDEX($L:$L,299)&lt;&gt;"",INDEX($L:$L,299),TRIM(INDEX($D:$D,299)&amp;" "&amp;INDEX($C:$C,299))))</f>
        <v/>
      </c>
      <c r="AQ299" s="43" t="str">
        <f aca="false">IF(OR(AI299="",INDEX($I:$I,299)="Yes"),"",1)</f>
        <v/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customFormat="false" ht="21.75" hidden="false" customHeight="true" outlineLevel="0" collapsed="false">
      <c r="A300" s="1"/>
      <c r="B300" s="113" t="str">
        <f aca="false">IF(AI300="","",COUNT($AI$7:AI300))</f>
        <v/>
      </c>
      <c r="C300" s="114"/>
      <c r="D300" s="114"/>
      <c r="E300" s="114"/>
      <c r="F300" s="114"/>
      <c r="G300" s="115"/>
      <c r="H300" s="115"/>
      <c r="I300" s="115"/>
      <c r="J300" s="115"/>
      <c r="K300" s="115"/>
      <c r="L300" s="114"/>
      <c r="M300" s="114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4"/>
      <c r="Y300" s="114"/>
      <c r="Z300" s="115"/>
      <c r="AA300" s="114"/>
      <c r="AB300" s="114"/>
      <c r="AC300" s="115"/>
      <c r="AD300" s="116"/>
      <c r="AE300" s="114"/>
      <c r="AF300" s="114"/>
      <c r="AG300" s="114"/>
      <c r="AH300" s="1"/>
      <c r="AI300" s="95" t="str">
        <f aca="false">IF(INDEX($C:$C,300)&amp;INDEX($D:$D,300)="","",1)</f>
        <v/>
      </c>
      <c r="AJ300" s="95" t="str">
        <f aca="false">IF(OR(AI300="",INDEX($Z:$Z,300)="",INDEX($U:$U,300)="Declined"),"",1)</f>
        <v/>
      </c>
      <c r="AK300" s="95" t="str">
        <f aca="false">IF(AJ300="","",INDEX($Z:$Z,300)&amp;"-"&amp;COUNTIFS($Z$7:Z300,INDEX($Z:$Z,300),$AJ$7:AJ300,1))</f>
        <v/>
      </c>
      <c r="AL300" s="43" t="str">
        <f aca="false">IF(AI300="","",TRIM(INDEX($D:$D,300)&amp;" "&amp;INDEX($C:$C,300))&amp;IF(INDEX($I:$I,300)="Yes"," (child)",""))</f>
        <v/>
      </c>
      <c r="AM300" s="95" t="str">
        <f aca="false">IF(OR(AI300="",INDEX($X:$X,300)="",INDEX($U:$U,300)="Declined"),"",COUNTIFS($X$7:X300,"?*",$U$7:U300,"&lt;&gt;Declined",$AI$7:AI300,1))</f>
        <v/>
      </c>
      <c r="AN300" s="95" t="str">
        <f aca="false">IF(AI300="","",IF(INDEX($L:$L,300)="",1,IF(COUNTIF($L$7:L300,INDEX($L:$L,300))=1,1,"")))</f>
        <v/>
      </c>
      <c r="AO300" s="95" t="str">
        <f aca="false">IF(AN300&lt;&gt;1,"",IF(INDEX($L:$L,300)="",IF(INDEX($S:$S,300)="Yes",1,""),IF(COUNTIFS($L$7:$L$506,INDEX($L:$L,300),$S$7:$S$506,"Yes")&gt;0,1,"")))</f>
        <v/>
      </c>
      <c r="AP300" s="95" t="str">
        <f aca="false">IF(AN300&lt;&gt;1,"",IF(INDEX($L:$L,300)&lt;&gt;"",INDEX($L:$L,300),TRIM(INDEX($D:$D,300)&amp;" "&amp;INDEX($C:$C,300))))</f>
        <v/>
      </c>
      <c r="AQ300" s="43" t="str">
        <f aca="false">IF(OR(AI300="",INDEX($I:$I,300)="Yes"),"",1)</f>
        <v/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customFormat="false" ht="21.75" hidden="false" customHeight="true" outlineLevel="0" collapsed="false">
      <c r="A301" s="1"/>
      <c r="B301" s="113" t="str">
        <f aca="false">IF(AI301="","",COUNT($AI$7:AI301))</f>
        <v/>
      </c>
      <c r="C301" s="114"/>
      <c r="D301" s="114"/>
      <c r="E301" s="114"/>
      <c r="F301" s="114"/>
      <c r="G301" s="115"/>
      <c r="H301" s="115"/>
      <c r="I301" s="115"/>
      <c r="J301" s="115"/>
      <c r="K301" s="115"/>
      <c r="L301" s="114"/>
      <c r="M301" s="114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4"/>
      <c r="Y301" s="114"/>
      <c r="Z301" s="115"/>
      <c r="AA301" s="114"/>
      <c r="AB301" s="114"/>
      <c r="AC301" s="115"/>
      <c r="AD301" s="116"/>
      <c r="AE301" s="114"/>
      <c r="AF301" s="114"/>
      <c r="AG301" s="114"/>
      <c r="AH301" s="1"/>
      <c r="AI301" s="95" t="str">
        <f aca="false">IF(INDEX($C:$C,301)&amp;INDEX($D:$D,301)="","",1)</f>
        <v/>
      </c>
      <c r="AJ301" s="95" t="str">
        <f aca="false">IF(OR(AI301="",INDEX($Z:$Z,301)="",INDEX($U:$U,301)="Declined"),"",1)</f>
        <v/>
      </c>
      <c r="AK301" s="95" t="str">
        <f aca="false">IF(AJ301="","",INDEX($Z:$Z,301)&amp;"-"&amp;COUNTIFS($Z$7:Z301,INDEX($Z:$Z,301),$AJ$7:AJ301,1))</f>
        <v/>
      </c>
      <c r="AL301" s="43" t="str">
        <f aca="false">IF(AI301="","",TRIM(INDEX($D:$D,301)&amp;" "&amp;INDEX($C:$C,301))&amp;IF(INDEX($I:$I,301)="Yes"," (child)",""))</f>
        <v/>
      </c>
      <c r="AM301" s="95" t="str">
        <f aca="false">IF(OR(AI301="",INDEX($X:$X,301)="",INDEX($U:$U,301)="Declined"),"",COUNTIFS($X$7:X301,"?*",$U$7:U301,"&lt;&gt;Declined",$AI$7:AI301,1))</f>
        <v/>
      </c>
      <c r="AN301" s="95" t="str">
        <f aca="false">IF(AI301="","",IF(INDEX($L:$L,301)="",1,IF(COUNTIF($L$7:L301,INDEX($L:$L,301))=1,1,"")))</f>
        <v/>
      </c>
      <c r="AO301" s="95" t="str">
        <f aca="false">IF(AN301&lt;&gt;1,"",IF(INDEX($L:$L,301)="",IF(INDEX($S:$S,301)="Yes",1,""),IF(COUNTIFS($L$7:$L$506,INDEX($L:$L,301),$S$7:$S$506,"Yes")&gt;0,1,"")))</f>
        <v/>
      </c>
      <c r="AP301" s="95" t="str">
        <f aca="false">IF(AN301&lt;&gt;1,"",IF(INDEX($L:$L,301)&lt;&gt;"",INDEX($L:$L,301),TRIM(INDEX($D:$D,301)&amp;" "&amp;INDEX($C:$C,301))))</f>
        <v/>
      </c>
      <c r="AQ301" s="43" t="str">
        <f aca="false">IF(OR(AI301="",INDEX($I:$I,301)="Yes"),"",1)</f>
        <v/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customFormat="false" ht="21.75" hidden="false" customHeight="true" outlineLevel="0" collapsed="false">
      <c r="A302" s="1"/>
      <c r="B302" s="113" t="str">
        <f aca="false">IF(AI302="","",COUNT($AI$7:AI302))</f>
        <v/>
      </c>
      <c r="C302" s="114"/>
      <c r="D302" s="114"/>
      <c r="E302" s="114"/>
      <c r="F302" s="114"/>
      <c r="G302" s="115"/>
      <c r="H302" s="115"/>
      <c r="I302" s="115"/>
      <c r="J302" s="115"/>
      <c r="K302" s="115"/>
      <c r="L302" s="114"/>
      <c r="M302" s="114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4"/>
      <c r="Y302" s="114"/>
      <c r="Z302" s="115"/>
      <c r="AA302" s="114"/>
      <c r="AB302" s="114"/>
      <c r="AC302" s="115"/>
      <c r="AD302" s="116"/>
      <c r="AE302" s="114"/>
      <c r="AF302" s="114"/>
      <c r="AG302" s="114"/>
      <c r="AH302" s="1"/>
      <c r="AI302" s="95" t="str">
        <f aca="false">IF(INDEX($C:$C,302)&amp;INDEX($D:$D,302)="","",1)</f>
        <v/>
      </c>
      <c r="AJ302" s="95" t="str">
        <f aca="false">IF(OR(AI302="",INDEX($Z:$Z,302)="",INDEX($U:$U,302)="Declined"),"",1)</f>
        <v/>
      </c>
      <c r="AK302" s="95" t="str">
        <f aca="false">IF(AJ302="","",INDEX($Z:$Z,302)&amp;"-"&amp;COUNTIFS($Z$7:Z302,INDEX($Z:$Z,302),$AJ$7:AJ302,1))</f>
        <v/>
      </c>
      <c r="AL302" s="43" t="str">
        <f aca="false">IF(AI302="","",TRIM(INDEX($D:$D,302)&amp;" "&amp;INDEX($C:$C,302))&amp;IF(INDEX($I:$I,302)="Yes"," (child)",""))</f>
        <v/>
      </c>
      <c r="AM302" s="95" t="str">
        <f aca="false">IF(OR(AI302="",INDEX($X:$X,302)="",INDEX($U:$U,302)="Declined"),"",COUNTIFS($X$7:X302,"?*",$U$7:U302,"&lt;&gt;Declined",$AI$7:AI302,1))</f>
        <v/>
      </c>
      <c r="AN302" s="95" t="str">
        <f aca="false">IF(AI302="","",IF(INDEX($L:$L,302)="",1,IF(COUNTIF($L$7:L302,INDEX($L:$L,302))=1,1,"")))</f>
        <v/>
      </c>
      <c r="AO302" s="95" t="str">
        <f aca="false">IF(AN302&lt;&gt;1,"",IF(INDEX($L:$L,302)="",IF(INDEX($S:$S,302)="Yes",1,""),IF(COUNTIFS($L$7:$L$506,INDEX($L:$L,302),$S$7:$S$506,"Yes")&gt;0,1,"")))</f>
        <v/>
      </c>
      <c r="AP302" s="95" t="str">
        <f aca="false">IF(AN302&lt;&gt;1,"",IF(INDEX($L:$L,302)&lt;&gt;"",INDEX($L:$L,302),TRIM(INDEX($D:$D,302)&amp;" "&amp;INDEX($C:$C,302))))</f>
        <v/>
      </c>
      <c r="AQ302" s="43" t="str">
        <f aca="false">IF(OR(AI302="",INDEX($I:$I,302)="Yes"),"",1)</f>
        <v/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customFormat="false" ht="21.75" hidden="false" customHeight="true" outlineLevel="0" collapsed="false">
      <c r="A303" s="1"/>
      <c r="B303" s="113" t="str">
        <f aca="false">IF(AI303="","",COUNT($AI$7:AI303))</f>
        <v/>
      </c>
      <c r="C303" s="114"/>
      <c r="D303" s="114"/>
      <c r="E303" s="114"/>
      <c r="F303" s="114"/>
      <c r="G303" s="115"/>
      <c r="H303" s="115"/>
      <c r="I303" s="115"/>
      <c r="J303" s="115"/>
      <c r="K303" s="115"/>
      <c r="L303" s="114"/>
      <c r="M303" s="114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4"/>
      <c r="Y303" s="114"/>
      <c r="Z303" s="115"/>
      <c r="AA303" s="114"/>
      <c r="AB303" s="114"/>
      <c r="AC303" s="115"/>
      <c r="AD303" s="116"/>
      <c r="AE303" s="114"/>
      <c r="AF303" s="114"/>
      <c r="AG303" s="114"/>
      <c r="AH303" s="1"/>
      <c r="AI303" s="95" t="str">
        <f aca="false">IF(INDEX($C:$C,303)&amp;INDEX($D:$D,303)="","",1)</f>
        <v/>
      </c>
      <c r="AJ303" s="95" t="str">
        <f aca="false">IF(OR(AI303="",INDEX($Z:$Z,303)="",INDEX($U:$U,303)="Declined"),"",1)</f>
        <v/>
      </c>
      <c r="AK303" s="95" t="str">
        <f aca="false">IF(AJ303="","",INDEX($Z:$Z,303)&amp;"-"&amp;COUNTIFS($Z$7:Z303,INDEX($Z:$Z,303),$AJ$7:AJ303,1))</f>
        <v/>
      </c>
      <c r="AL303" s="43" t="str">
        <f aca="false">IF(AI303="","",TRIM(INDEX($D:$D,303)&amp;" "&amp;INDEX($C:$C,303))&amp;IF(INDEX($I:$I,303)="Yes"," (child)",""))</f>
        <v/>
      </c>
      <c r="AM303" s="95" t="str">
        <f aca="false">IF(OR(AI303="",INDEX($X:$X,303)="",INDEX($U:$U,303)="Declined"),"",COUNTIFS($X$7:X303,"?*",$U$7:U303,"&lt;&gt;Declined",$AI$7:AI303,1))</f>
        <v/>
      </c>
      <c r="AN303" s="95" t="str">
        <f aca="false">IF(AI303="","",IF(INDEX($L:$L,303)="",1,IF(COUNTIF($L$7:L303,INDEX($L:$L,303))=1,1,"")))</f>
        <v/>
      </c>
      <c r="AO303" s="95" t="str">
        <f aca="false">IF(AN303&lt;&gt;1,"",IF(INDEX($L:$L,303)="",IF(INDEX($S:$S,303)="Yes",1,""),IF(COUNTIFS($L$7:$L$506,INDEX($L:$L,303),$S$7:$S$506,"Yes")&gt;0,1,"")))</f>
        <v/>
      </c>
      <c r="AP303" s="95" t="str">
        <f aca="false">IF(AN303&lt;&gt;1,"",IF(INDEX($L:$L,303)&lt;&gt;"",INDEX($L:$L,303),TRIM(INDEX($D:$D,303)&amp;" "&amp;INDEX($C:$C,303))))</f>
        <v/>
      </c>
      <c r="AQ303" s="43" t="str">
        <f aca="false">IF(OR(AI303="",INDEX($I:$I,303)="Yes"),"",1)</f>
        <v/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customFormat="false" ht="21.75" hidden="false" customHeight="true" outlineLevel="0" collapsed="false">
      <c r="A304" s="1"/>
      <c r="B304" s="113" t="str">
        <f aca="false">IF(AI304="","",COUNT($AI$7:AI304))</f>
        <v/>
      </c>
      <c r="C304" s="114"/>
      <c r="D304" s="114"/>
      <c r="E304" s="114"/>
      <c r="F304" s="114"/>
      <c r="G304" s="115"/>
      <c r="H304" s="115"/>
      <c r="I304" s="115"/>
      <c r="J304" s="115"/>
      <c r="K304" s="115"/>
      <c r="L304" s="114"/>
      <c r="M304" s="114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4"/>
      <c r="Y304" s="114"/>
      <c r="Z304" s="115"/>
      <c r="AA304" s="114"/>
      <c r="AB304" s="114"/>
      <c r="AC304" s="115"/>
      <c r="AD304" s="116"/>
      <c r="AE304" s="114"/>
      <c r="AF304" s="114"/>
      <c r="AG304" s="114"/>
      <c r="AH304" s="1"/>
      <c r="AI304" s="95" t="str">
        <f aca="false">IF(INDEX($C:$C,304)&amp;INDEX($D:$D,304)="","",1)</f>
        <v/>
      </c>
      <c r="AJ304" s="95" t="str">
        <f aca="false">IF(OR(AI304="",INDEX($Z:$Z,304)="",INDEX($U:$U,304)="Declined"),"",1)</f>
        <v/>
      </c>
      <c r="AK304" s="95" t="str">
        <f aca="false">IF(AJ304="","",INDEX($Z:$Z,304)&amp;"-"&amp;COUNTIFS($Z$7:Z304,INDEX($Z:$Z,304),$AJ$7:AJ304,1))</f>
        <v/>
      </c>
      <c r="AL304" s="43" t="str">
        <f aca="false">IF(AI304="","",TRIM(INDEX($D:$D,304)&amp;" "&amp;INDEX($C:$C,304))&amp;IF(INDEX($I:$I,304)="Yes"," (child)",""))</f>
        <v/>
      </c>
      <c r="AM304" s="95" t="str">
        <f aca="false">IF(OR(AI304="",INDEX($X:$X,304)="",INDEX($U:$U,304)="Declined"),"",COUNTIFS($X$7:X304,"?*",$U$7:U304,"&lt;&gt;Declined",$AI$7:AI304,1))</f>
        <v/>
      </c>
      <c r="AN304" s="95" t="str">
        <f aca="false">IF(AI304="","",IF(INDEX($L:$L,304)="",1,IF(COUNTIF($L$7:L304,INDEX($L:$L,304))=1,1,"")))</f>
        <v/>
      </c>
      <c r="AO304" s="95" t="str">
        <f aca="false">IF(AN304&lt;&gt;1,"",IF(INDEX($L:$L,304)="",IF(INDEX($S:$S,304)="Yes",1,""),IF(COUNTIFS($L$7:$L$506,INDEX($L:$L,304),$S$7:$S$506,"Yes")&gt;0,1,"")))</f>
        <v/>
      </c>
      <c r="AP304" s="95" t="str">
        <f aca="false">IF(AN304&lt;&gt;1,"",IF(INDEX($L:$L,304)&lt;&gt;"",INDEX($L:$L,304),TRIM(INDEX($D:$D,304)&amp;" "&amp;INDEX($C:$C,304))))</f>
        <v/>
      </c>
      <c r="AQ304" s="43" t="str">
        <f aca="false">IF(OR(AI304="",INDEX($I:$I,304)="Yes"),"",1)</f>
        <v/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customFormat="false" ht="21.75" hidden="false" customHeight="true" outlineLevel="0" collapsed="false">
      <c r="A305" s="1"/>
      <c r="B305" s="113" t="str">
        <f aca="false">IF(AI305="","",COUNT($AI$7:AI305))</f>
        <v/>
      </c>
      <c r="C305" s="114"/>
      <c r="D305" s="114"/>
      <c r="E305" s="114"/>
      <c r="F305" s="114"/>
      <c r="G305" s="115"/>
      <c r="H305" s="115"/>
      <c r="I305" s="115"/>
      <c r="J305" s="115"/>
      <c r="K305" s="115"/>
      <c r="L305" s="114"/>
      <c r="M305" s="114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4"/>
      <c r="Y305" s="114"/>
      <c r="Z305" s="115"/>
      <c r="AA305" s="114"/>
      <c r="AB305" s="114"/>
      <c r="AC305" s="115"/>
      <c r="AD305" s="116"/>
      <c r="AE305" s="114"/>
      <c r="AF305" s="114"/>
      <c r="AG305" s="114"/>
      <c r="AH305" s="1"/>
      <c r="AI305" s="95" t="str">
        <f aca="false">IF(INDEX($C:$C,305)&amp;INDEX($D:$D,305)="","",1)</f>
        <v/>
      </c>
      <c r="AJ305" s="95" t="str">
        <f aca="false">IF(OR(AI305="",INDEX($Z:$Z,305)="",INDEX($U:$U,305)="Declined"),"",1)</f>
        <v/>
      </c>
      <c r="AK305" s="95" t="str">
        <f aca="false">IF(AJ305="","",INDEX($Z:$Z,305)&amp;"-"&amp;COUNTIFS($Z$7:Z305,INDEX($Z:$Z,305),$AJ$7:AJ305,1))</f>
        <v/>
      </c>
      <c r="AL305" s="43" t="str">
        <f aca="false">IF(AI305="","",TRIM(INDEX($D:$D,305)&amp;" "&amp;INDEX($C:$C,305))&amp;IF(INDEX($I:$I,305)="Yes"," (child)",""))</f>
        <v/>
      </c>
      <c r="AM305" s="95" t="str">
        <f aca="false">IF(OR(AI305="",INDEX($X:$X,305)="",INDEX($U:$U,305)="Declined"),"",COUNTIFS($X$7:X305,"?*",$U$7:U305,"&lt;&gt;Declined",$AI$7:AI305,1))</f>
        <v/>
      </c>
      <c r="AN305" s="95" t="str">
        <f aca="false">IF(AI305="","",IF(INDEX($L:$L,305)="",1,IF(COUNTIF($L$7:L305,INDEX($L:$L,305))=1,1,"")))</f>
        <v/>
      </c>
      <c r="AO305" s="95" t="str">
        <f aca="false">IF(AN305&lt;&gt;1,"",IF(INDEX($L:$L,305)="",IF(INDEX($S:$S,305)="Yes",1,""),IF(COUNTIFS($L$7:$L$506,INDEX($L:$L,305),$S$7:$S$506,"Yes")&gt;0,1,"")))</f>
        <v/>
      </c>
      <c r="AP305" s="95" t="str">
        <f aca="false">IF(AN305&lt;&gt;1,"",IF(INDEX($L:$L,305)&lt;&gt;"",INDEX($L:$L,305),TRIM(INDEX($D:$D,305)&amp;" "&amp;INDEX($C:$C,305))))</f>
        <v/>
      </c>
      <c r="AQ305" s="43" t="str">
        <f aca="false">IF(OR(AI305="",INDEX($I:$I,305)="Yes"),"",1)</f>
        <v/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customFormat="false" ht="21.75" hidden="false" customHeight="true" outlineLevel="0" collapsed="false">
      <c r="A306" s="1"/>
      <c r="B306" s="113" t="str">
        <f aca="false">IF(AI306="","",COUNT($AI$7:AI306))</f>
        <v/>
      </c>
      <c r="C306" s="114"/>
      <c r="D306" s="114"/>
      <c r="E306" s="114"/>
      <c r="F306" s="114"/>
      <c r="G306" s="115"/>
      <c r="H306" s="115"/>
      <c r="I306" s="115"/>
      <c r="J306" s="115"/>
      <c r="K306" s="115"/>
      <c r="L306" s="114"/>
      <c r="M306" s="114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4"/>
      <c r="Y306" s="114"/>
      <c r="Z306" s="115"/>
      <c r="AA306" s="114"/>
      <c r="AB306" s="114"/>
      <c r="AC306" s="115"/>
      <c r="AD306" s="116"/>
      <c r="AE306" s="114"/>
      <c r="AF306" s="114"/>
      <c r="AG306" s="114"/>
      <c r="AH306" s="1"/>
      <c r="AI306" s="95" t="str">
        <f aca="false">IF(INDEX($C:$C,306)&amp;INDEX($D:$D,306)="","",1)</f>
        <v/>
      </c>
      <c r="AJ306" s="95" t="str">
        <f aca="false">IF(OR(AI306="",INDEX($Z:$Z,306)="",INDEX($U:$U,306)="Declined"),"",1)</f>
        <v/>
      </c>
      <c r="AK306" s="95" t="str">
        <f aca="false">IF(AJ306="","",INDEX($Z:$Z,306)&amp;"-"&amp;COUNTIFS($Z$7:Z306,INDEX($Z:$Z,306),$AJ$7:AJ306,1))</f>
        <v/>
      </c>
      <c r="AL306" s="43" t="str">
        <f aca="false">IF(AI306="","",TRIM(INDEX($D:$D,306)&amp;" "&amp;INDEX($C:$C,306))&amp;IF(INDEX($I:$I,306)="Yes"," (child)",""))</f>
        <v/>
      </c>
      <c r="AM306" s="95" t="str">
        <f aca="false">IF(OR(AI306="",INDEX($X:$X,306)="",INDEX($U:$U,306)="Declined"),"",COUNTIFS($X$7:X306,"?*",$U$7:U306,"&lt;&gt;Declined",$AI$7:AI306,1))</f>
        <v/>
      </c>
      <c r="AN306" s="95" t="str">
        <f aca="false">IF(AI306="","",IF(INDEX($L:$L,306)="",1,IF(COUNTIF($L$7:L306,INDEX($L:$L,306))=1,1,"")))</f>
        <v/>
      </c>
      <c r="AO306" s="95" t="str">
        <f aca="false">IF(AN306&lt;&gt;1,"",IF(INDEX($L:$L,306)="",IF(INDEX($S:$S,306)="Yes",1,""),IF(COUNTIFS($L$7:$L$506,INDEX($L:$L,306),$S$7:$S$506,"Yes")&gt;0,1,"")))</f>
        <v/>
      </c>
      <c r="AP306" s="95" t="str">
        <f aca="false">IF(AN306&lt;&gt;1,"",IF(INDEX($L:$L,306)&lt;&gt;"",INDEX($L:$L,306),TRIM(INDEX($D:$D,306)&amp;" "&amp;INDEX($C:$C,306))))</f>
        <v/>
      </c>
      <c r="AQ306" s="43" t="str">
        <f aca="false">IF(OR(AI306="",INDEX($I:$I,306)="Yes"),"",1)</f>
        <v/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customFormat="false" ht="21.75" hidden="false" customHeight="true" outlineLevel="0" collapsed="false">
      <c r="A307" s="1"/>
      <c r="B307" s="113" t="str">
        <f aca="false">IF(AI307="","",COUNT($AI$7:AI307))</f>
        <v/>
      </c>
      <c r="C307" s="114"/>
      <c r="D307" s="114"/>
      <c r="E307" s="114"/>
      <c r="F307" s="114"/>
      <c r="G307" s="115"/>
      <c r="H307" s="115"/>
      <c r="I307" s="115"/>
      <c r="J307" s="115"/>
      <c r="K307" s="115"/>
      <c r="L307" s="114"/>
      <c r="M307" s="114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4"/>
      <c r="Y307" s="114"/>
      <c r="Z307" s="115"/>
      <c r="AA307" s="114"/>
      <c r="AB307" s="114"/>
      <c r="AC307" s="115"/>
      <c r="AD307" s="116"/>
      <c r="AE307" s="114"/>
      <c r="AF307" s="114"/>
      <c r="AG307" s="114"/>
      <c r="AH307" s="1"/>
      <c r="AI307" s="95" t="str">
        <f aca="false">IF(INDEX($C:$C,307)&amp;INDEX($D:$D,307)="","",1)</f>
        <v/>
      </c>
      <c r="AJ307" s="95" t="str">
        <f aca="false">IF(OR(AI307="",INDEX($Z:$Z,307)="",INDEX($U:$U,307)="Declined"),"",1)</f>
        <v/>
      </c>
      <c r="AK307" s="95" t="str">
        <f aca="false">IF(AJ307="","",INDEX($Z:$Z,307)&amp;"-"&amp;COUNTIFS($Z$7:Z307,INDEX($Z:$Z,307),$AJ$7:AJ307,1))</f>
        <v/>
      </c>
      <c r="AL307" s="43" t="str">
        <f aca="false">IF(AI307="","",TRIM(INDEX($D:$D,307)&amp;" "&amp;INDEX($C:$C,307))&amp;IF(INDEX($I:$I,307)="Yes"," (child)",""))</f>
        <v/>
      </c>
      <c r="AM307" s="95" t="str">
        <f aca="false">IF(OR(AI307="",INDEX($X:$X,307)="",INDEX($U:$U,307)="Declined"),"",COUNTIFS($X$7:X307,"?*",$U$7:U307,"&lt;&gt;Declined",$AI$7:AI307,1))</f>
        <v/>
      </c>
      <c r="AN307" s="95" t="str">
        <f aca="false">IF(AI307="","",IF(INDEX($L:$L,307)="",1,IF(COUNTIF($L$7:L307,INDEX($L:$L,307))=1,1,"")))</f>
        <v/>
      </c>
      <c r="AO307" s="95" t="str">
        <f aca="false">IF(AN307&lt;&gt;1,"",IF(INDEX($L:$L,307)="",IF(INDEX($S:$S,307)="Yes",1,""),IF(COUNTIFS($L$7:$L$506,INDEX($L:$L,307),$S$7:$S$506,"Yes")&gt;0,1,"")))</f>
        <v/>
      </c>
      <c r="AP307" s="95" t="str">
        <f aca="false">IF(AN307&lt;&gt;1,"",IF(INDEX($L:$L,307)&lt;&gt;"",INDEX($L:$L,307),TRIM(INDEX($D:$D,307)&amp;" "&amp;INDEX($C:$C,307))))</f>
        <v/>
      </c>
      <c r="AQ307" s="43" t="str">
        <f aca="false">IF(OR(AI307="",INDEX($I:$I,307)="Yes"),"",1)</f>
        <v/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customFormat="false" ht="21.75" hidden="false" customHeight="true" outlineLevel="0" collapsed="false">
      <c r="A308" s="1"/>
      <c r="B308" s="113" t="str">
        <f aca="false">IF(AI308="","",COUNT($AI$7:AI308))</f>
        <v/>
      </c>
      <c r="C308" s="114"/>
      <c r="D308" s="114"/>
      <c r="E308" s="114"/>
      <c r="F308" s="114"/>
      <c r="G308" s="115"/>
      <c r="H308" s="115"/>
      <c r="I308" s="115"/>
      <c r="J308" s="115"/>
      <c r="K308" s="115"/>
      <c r="L308" s="114"/>
      <c r="M308" s="114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4"/>
      <c r="Y308" s="114"/>
      <c r="Z308" s="115"/>
      <c r="AA308" s="114"/>
      <c r="AB308" s="114"/>
      <c r="AC308" s="115"/>
      <c r="AD308" s="116"/>
      <c r="AE308" s="114"/>
      <c r="AF308" s="114"/>
      <c r="AG308" s="114"/>
      <c r="AH308" s="1"/>
      <c r="AI308" s="95" t="str">
        <f aca="false">IF(INDEX($C:$C,308)&amp;INDEX($D:$D,308)="","",1)</f>
        <v/>
      </c>
      <c r="AJ308" s="95" t="str">
        <f aca="false">IF(OR(AI308="",INDEX($Z:$Z,308)="",INDEX($U:$U,308)="Declined"),"",1)</f>
        <v/>
      </c>
      <c r="AK308" s="95" t="str">
        <f aca="false">IF(AJ308="","",INDEX($Z:$Z,308)&amp;"-"&amp;COUNTIFS($Z$7:Z308,INDEX($Z:$Z,308),$AJ$7:AJ308,1))</f>
        <v/>
      </c>
      <c r="AL308" s="43" t="str">
        <f aca="false">IF(AI308="","",TRIM(INDEX($D:$D,308)&amp;" "&amp;INDEX($C:$C,308))&amp;IF(INDEX($I:$I,308)="Yes"," (child)",""))</f>
        <v/>
      </c>
      <c r="AM308" s="95" t="str">
        <f aca="false">IF(OR(AI308="",INDEX($X:$X,308)="",INDEX($U:$U,308)="Declined"),"",COUNTIFS($X$7:X308,"?*",$U$7:U308,"&lt;&gt;Declined",$AI$7:AI308,1))</f>
        <v/>
      </c>
      <c r="AN308" s="95" t="str">
        <f aca="false">IF(AI308="","",IF(INDEX($L:$L,308)="",1,IF(COUNTIF($L$7:L308,INDEX($L:$L,308))=1,1,"")))</f>
        <v/>
      </c>
      <c r="AO308" s="95" t="str">
        <f aca="false">IF(AN308&lt;&gt;1,"",IF(INDEX($L:$L,308)="",IF(INDEX($S:$S,308)="Yes",1,""),IF(COUNTIFS($L$7:$L$506,INDEX($L:$L,308),$S$7:$S$506,"Yes")&gt;0,1,"")))</f>
        <v/>
      </c>
      <c r="AP308" s="95" t="str">
        <f aca="false">IF(AN308&lt;&gt;1,"",IF(INDEX($L:$L,308)&lt;&gt;"",INDEX($L:$L,308),TRIM(INDEX($D:$D,308)&amp;" "&amp;INDEX($C:$C,308))))</f>
        <v/>
      </c>
      <c r="AQ308" s="43" t="str">
        <f aca="false">IF(OR(AI308="",INDEX($I:$I,308)="Yes"),"",1)</f>
        <v/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customFormat="false" ht="21.75" hidden="false" customHeight="true" outlineLevel="0" collapsed="false">
      <c r="A309" s="1"/>
      <c r="B309" s="113" t="str">
        <f aca="false">IF(AI309="","",COUNT($AI$7:AI309))</f>
        <v/>
      </c>
      <c r="C309" s="114"/>
      <c r="D309" s="114"/>
      <c r="E309" s="114"/>
      <c r="F309" s="114"/>
      <c r="G309" s="115"/>
      <c r="H309" s="115"/>
      <c r="I309" s="115"/>
      <c r="J309" s="115"/>
      <c r="K309" s="115"/>
      <c r="L309" s="114"/>
      <c r="M309" s="114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4"/>
      <c r="Y309" s="114"/>
      <c r="Z309" s="115"/>
      <c r="AA309" s="114"/>
      <c r="AB309" s="114"/>
      <c r="AC309" s="115"/>
      <c r="AD309" s="116"/>
      <c r="AE309" s="114"/>
      <c r="AF309" s="114"/>
      <c r="AG309" s="114"/>
      <c r="AH309" s="1"/>
      <c r="AI309" s="95" t="str">
        <f aca="false">IF(INDEX($C:$C,309)&amp;INDEX($D:$D,309)="","",1)</f>
        <v/>
      </c>
      <c r="AJ309" s="95" t="str">
        <f aca="false">IF(OR(AI309="",INDEX($Z:$Z,309)="",INDEX($U:$U,309)="Declined"),"",1)</f>
        <v/>
      </c>
      <c r="AK309" s="95" t="str">
        <f aca="false">IF(AJ309="","",INDEX($Z:$Z,309)&amp;"-"&amp;COUNTIFS($Z$7:Z309,INDEX($Z:$Z,309),$AJ$7:AJ309,1))</f>
        <v/>
      </c>
      <c r="AL309" s="43" t="str">
        <f aca="false">IF(AI309="","",TRIM(INDEX($D:$D,309)&amp;" "&amp;INDEX($C:$C,309))&amp;IF(INDEX($I:$I,309)="Yes"," (child)",""))</f>
        <v/>
      </c>
      <c r="AM309" s="95" t="str">
        <f aca="false">IF(OR(AI309="",INDEX($X:$X,309)="",INDEX($U:$U,309)="Declined"),"",COUNTIFS($X$7:X309,"?*",$U$7:U309,"&lt;&gt;Declined",$AI$7:AI309,1))</f>
        <v/>
      </c>
      <c r="AN309" s="95" t="str">
        <f aca="false">IF(AI309="","",IF(INDEX($L:$L,309)="",1,IF(COUNTIF($L$7:L309,INDEX($L:$L,309))=1,1,"")))</f>
        <v/>
      </c>
      <c r="AO309" s="95" t="str">
        <f aca="false">IF(AN309&lt;&gt;1,"",IF(INDEX($L:$L,309)="",IF(INDEX($S:$S,309)="Yes",1,""),IF(COUNTIFS($L$7:$L$506,INDEX($L:$L,309),$S$7:$S$506,"Yes")&gt;0,1,"")))</f>
        <v/>
      </c>
      <c r="AP309" s="95" t="str">
        <f aca="false">IF(AN309&lt;&gt;1,"",IF(INDEX($L:$L,309)&lt;&gt;"",INDEX($L:$L,309),TRIM(INDEX($D:$D,309)&amp;" "&amp;INDEX($C:$C,309))))</f>
        <v/>
      </c>
      <c r="AQ309" s="43" t="str">
        <f aca="false">IF(OR(AI309="",INDEX($I:$I,309)="Yes"),"",1)</f>
        <v/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customFormat="false" ht="21.75" hidden="false" customHeight="true" outlineLevel="0" collapsed="false">
      <c r="A310" s="1"/>
      <c r="B310" s="113" t="str">
        <f aca="false">IF(AI310="","",COUNT($AI$7:AI310))</f>
        <v/>
      </c>
      <c r="C310" s="114"/>
      <c r="D310" s="114"/>
      <c r="E310" s="114"/>
      <c r="F310" s="114"/>
      <c r="G310" s="115"/>
      <c r="H310" s="115"/>
      <c r="I310" s="115"/>
      <c r="J310" s="115"/>
      <c r="K310" s="115"/>
      <c r="L310" s="114"/>
      <c r="M310" s="114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4"/>
      <c r="Y310" s="114"/>
      <c r="Z310" s="115"/>
      <c r="AA310" s="114"/>
      <c r="AB310" s="114"/>
      <c r="AC310" s="115"/>
      <c r="AD310" s="116"/>
      <c r="AE310" s="114"/>
      <c r="AF310" s="114"/>
      <c r="AG310" s="114"/>
      <c r="AH310" s="1"/>
      <c r="AI310" s="95" t="str">
        <f aca="false">IF(INDEX($C:$C,310)&amp;INDEX($D:$D,310)="","",1)</f>
        <v/>
      </c>
      <c r="AJ310" s="95" t="str">
        <f aca="false">IF(OR(AI310="",INDEX($Z:$Z,310)="",INDEX($U:$U,310)="Declined"),"",1)</f>
        <v/>
      </c>
      <c r="AK310" s="95" t="str">
        <f aca="false">IF(AJ310="","",INDEX($Z:$Z,310)&amp;"-"&amp;COUNTIFS($Z$7:Z310,INDEX($Z:$Z,310),$AJ$7:AJ310,1))</f>
        <v/>
      </c>
      <c r="AL310" s="43" t="str">
        <f aca="false">IF(AI310="","",TRIM(INDEX($D:$D,310)&amp;" "&amp;INDEX($C:$C,310))&amp;IF(INDEX($I:$I,310)="Yes"," (child)",""))</f>
        <v/>
      </c>
      <c r="AM310" s="95" t="str">
        <f aca="false">IF(OR(AI310="",INDEX($X:$X,310)="",INDEX($U:$U,310)="Declined"),"",COUNTIFS($X$7:X310,"?*",$U$7:U310,"&lt;&gt;Declined",$AI$7:AI310,1))</f>
        <v/>
      </c>
      <c r="AN310" s="95" t="str">
        <f aca="false">IF(AI310="","",IF(INDEX($L:$L,310)="",1,IF(COUNTIF($L$7:L310,INDEX($L:$L,310))=1,1,"")))</f>
        <v/>
      </c>
      <c r="AO310" s="95" t="str">
        <f aca="false">IF(AN310&lt;&gt;1,"",IF(INDEX($L:$L,310)="",IF(INDEX($S:$S,310)="Yes",1,""),IF(COUNTIFS($L$7:$L$506,INDEX($L:$L,310),$S$7:$S$506,"Yes")&gt;0,1,"")))</f>
        <v/>
      </c>
      <c r="AP310" s="95" t="str">
        <f aca="false">IF(AN310&lt;&gt;1,"",IF(INDEX($L:$L,310)&lt;&gt;"",INDEX($L:$L,310),TRIM(INDEX($D:$D,310)&amp;" "&amp;INDEX($C:$C,310))))</f>
        <v/>
      </c>
      <c r="AQ310" s="43" t="str">
        <f aca="false">IF(OR(AI310="",INDEX($I:$I,310)="Yes"),"",1)</f>
        <v/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customFormat="false" ht="21.75" hidden="false" customHeight="true" outlineLevel="0" collapsed="false">
      <c r="A311" s="1"/>
      <c r="B311" s="113" t="str">
        <f aca="false">IF(AI311="","",COUNT($AI$7:AI311))</f>
        <v/>
      </c>
      <c r="C311" s="114"/>
      <c r="D311" s="114"/>
      <c r="E311" s="114"/>
      <c r="F311" s="114"/>
      <c r="G311" s="115"/>
      <c r="H311" s="115"/>
      <c r="I311" s="115"/>
      <c r="J311" s="115"/>
      <c r="K311" s="115"/>
      <c r="L311" s="114"/>
      <c r="M311" s="114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4"/>
      <c r="Y311" s="114"/>
      <c r="Z311" s="115"/>
      <c r="AA311" s="114"/>
      <c r="AB311" s="114"/>
      <c r="AC311" s="115"/>
      <c r="AD311" s="116"/>
      <c r="AE311" s="114"/>
      <c r="AF311" s="114"/>
      <c r="AG311" s="114"/>
      <c r="AH311" s="1"/>
      <c r="AI311" s="95" t="str">
        <f aca="false">IF(INDEX($C:$C,311)&amp;INDEX($D:$D,311)="","",1)</f>
        <v/>
      </c>
      <c r="AJ311" s="95" t="str">
        <f aca="false">IF(OR(AI311="",INDEX($Z:$Z,311)="",INDEX($U:$U,311)="Declined"),"",1)</f>
        <v/>
      </c>
      <c r="AK311" s="95" t="str">
        <f aca="false">IF(AJ311="","",INDEX($Z:$Z,311)&amp;"-"&amp;COUNTIFS($Z$7:Z311,INDEX($Z:$Z,311),$AJ$7:AJ311,1))</f>
        <v/>
      </c>
      <c r="AL311" s="43" t="str">
        <f aca="false">IF(AI311="","",TRIM(INDEX($D:$D,311)&amp;" "&amp;INDEX($C:$C,311))&amp;IF(INDEX($I:$I,311)="Yes"," (child)",""))</f>
        <v/>
      </c>
      <c r="AM311" s="95" t="str">
        <f aca="false">IF(OR(AI311="",INDEX($X:$X,311)="",INDEX($U:$U,311)="Declined"),"",COUNTIFS($X$7:X311,"?*",$U$7:U311,"&lt;&gt;Declined",$AI$7:AI311,1))</f>
        <v/>
      </c>
      <c r="AN311" s="95" t="str">
        <f aca="false">IF(AI311="","",IF(INDEX($L:$L,311)="",1,IF(COUNTIF($L$7:L311,INDEX($L:$L,311))=1,1,"")))</f>
        <v/>
      </c>
      <c r="AO311" s="95" t="str">
        <f aca="false">IF(AN311&lt;&gt;1,"",IF(INDEX($L:$L,311)="",IF(INDEX($S:$S,311)="Yes",1,""),IF(COUNTIFS($L$7:$L$506,INDEX($L:$L,311),$S$7:$S$506,"Yes")&gt;0,1,"")))</f>
        <v/>
      </c>
      <c r="AP311" s="95" t="str">
        <f aca="false">IF(AN311&lt;&gt;1,"",IF(INDEX($L:$L,311)&lt;&gt;"",INDEX($L:$L,311),TRIM(INDEX($D:$D,311)&amp;" "&amp;INDEX($C:$C,311))))</f>
        <v/>
      </c>
      <c r="AQ311" s="43" t="str">
        <f aca="false">IF(OR(AI311="",INDEX($I:$I,311)="Yes"),"",1)</f>
        <v/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customFormat="false" ht="21.75" hidden="false" customHeight="true" outlineLevel="0" collapsed="false">
      <c r="A312" s="1"/>
      <c r="B312" s="113" t="str">
        <f aca="false">IF(AI312="","",COUNT($AI$7:AI312))</f>
        <v/>
      </c>
      <c r="C312" s="114"/>
      <c r="D312" s="114"/>
      <c r="E312" s="114"/>
      <c r="F312" s="114"/>
      <c r="G312" s="115"/>
      <c r="H312" s="115"/>
      <c r="I312" s="115"/>
      <c r="J312" s="115"/>
      <c r="K312" s="115"/>
      <c r="L312" s="114"/>
      <c r="M312" s="114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4"/>
      <c r="Y312" s="114"/>
      <c r="Z312" s="115"/>
      <c r="AA312" s="114"/>
      <c r="AB312" s="114"/>
      <c r="AC312" s="115"/>
      <c r="AD312" s="116"/>
      <c r="AE312" s="114"/>
      <c r="AF312" s="114"/>
      <c r="AG312" s="114"/>
      <c r="AH312" s="1"/>
      <c r="AI312" s="95" t="str">
        <f aca="false">IF(INDEX($C:$C,312)&amp;INDEX($D:$D,312)="","",1)</f>
        <v/>
      </c>
      <c r="AJ312" s="95" t="str">
        <f aca="false">IF(OR(AI312="",INDEX($Z:$Z,312)="",INDEX($U:$U,312)="Declined"),"",1)</f>
        <v/>
      </c>
      <c r="AK312" s="95" t="str">
        <f aca="false">IF(AJ312="","",INDEX($Z:$Z,312)&amp;"-"&amp;COUNTIFS($Z$7:Z312,INDEX($Z:$Z,312),$AJ$7:AJ312,1))</f>
        <v/>
      </c>
      <c r="AL312" s="43" t="str">
        <f aca="false">IF(AI312="","",TRIM(INDEX($D:$D,312)&amp;" "&amp;INDEX($C:$C,312))&amp;IF(INDEX($I:$I,312)="Yes"," (child)",""))</f>
        <v/>
      </c>
      <c r="AM312" s="95" t="str">
        <f aca="false">IF(OR(AI312="",INDEX($X:$X,312)="",INDEX($U:$U,312)="Declined"),"",COUNTIFS($X$7:X312,"?*",$U$7:U312,"&lt;&gt;Declined",$AI$7:AI312,1))</f>
        <v/>
      </c>
      <c r="AN312" s="95" t="str">
        <f aca="false">IF(AI312="","",IF(INDEX($L:$L,312)="",1,IF(COUNTIF($L$7:L312,INDEX($L:$L,312))=1,1,"")))</f>
        <v/>
      </c>
      <c r="AO312" s="95" t="str">
        <f aca="false">IF(AN312&lt;&gt;1,"",IF(INDEX($L:$L,312)="",IF(INDEX($S:$S,312)="Yes",1,""),IF(COUNTIFS($L$7:$L$506,INDEX($L:$L,312),$S$7:$S$506,"Yes")&gt;0,1,"")))</f>
        <v/>
      </c>
      <c r="AP312" s="95" t="str">
        <f aca="false">IF(AN312&lt;&gt;1,"",IF(INDEX($L:$L,312)&lt;&gt;"",INDEX($L:$L,312),TRIM(INDEX($D:$D,312)&amp;" "&amp;INDEX($C:$C,312))))</f>
        <v/>
      </c>
      <c r="AQ312" s="43" t="str">
        <f aca="false">IF(OR(AI312="",INDEX($I:$I,312)="Yes"),"",1)</f>
        <v/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customFormat="false" ht="21.75" hidden="false" customHeight="true" outlineLevel="0" collapsed="false">
      <c r="A313" s="1"/>
      <c r="B313" s="113" t="str">
        <f aca="false">IF(AI313="","",COUNT($AI$7:AI313))</f>
        <v/>
      </c>
      <c r="C313" s="114"/>
      <c r="D313" s="114"/>
      <c r="E313" s="114"/>
      <c r="F313" s="114"/>
      <c r="G313" s="115"/>
      <c r="H313" s="115"/>
      <c r="I313" s="115"/>
      <c r="J313" s="115"/>
      <c r="K313" s="115"/>
      <c r="L313" s="114"/>
      <c r="M313" s="114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4"/>
      <c r="Y313" s="114"/>
      <c r="Z313" s="115"/>
      <c r="AA313" s="114"/>
      <c r="AB313" s="114"/>
      <c r="AC313" s="115"/>
      <c r="AD313" s="116"/>
      <c r="AE313" s="114"/>
      <c r="AF313" s="114"/>
      <c r="AG313" s="114"/>
      <c r="AH313" s="1"/>
      <c r="AI313" s="95" t="str">
        <f aca="false">IF(INDEX($C:$C,313)&amp;INDEX($D:$D,313)="","",1)</f>
        <v/>
      </c>
      <c r="AJ313" s="95" t="str">
        <f aca="false">IF(OR(AI313="",INDEX($Z:$Z,313)="",INDEX($U:$U,313)="Declined"),"",1)</f>
        <v/>
      </c>
      <c r="AK313" s="95" t="str">
        <f aca="false">IF(AJ313="","",INDEX($Z:$Z,313)&amp;"-"&amp;COUNTIFS($Z$7:Z313,INDEX($Z:$Z,313),$AJ$7:AJ313,1))</f>
        <v/>
      </c>
      <c r="AL313" s="43" t="str">
        <f aca="false">IF(AI313="","",TRIM(INDEX($D:$D,313)&amp;" "&amp;INDEX($C:$C,313))&amp;IF(INDEX($I:$I,313)="Yes"," (child)",""))</f>
        <v/>
      </c>
      <c r="AM313" s="95" t="str">
        <f aca="false">IF(OR(AI313="",INDEX($X:$X,313)="",INDEX($U:$U,313)="Declined"),"",COUNTIFS($X$7:X313,"?*",$U$7:U313,"&lt;&gt;Declined",$AI$7:AI313,1))</f>
        <v/>
      </c>
      <c r="AN313" s="95" t="str">
        <f aca="false">IF(AI313="","",IF(INDEX($L:$L,313)="",1,IF(COUNTIF($L$7:L313,INDEX($L:$L,313))=1,1,"")))</f>
        <v/>
      </c>
      <c r="AO313" s="95" t="str">
        <f aca="false">IF(AN313&lt;&gt;1,"",IF(INDEX($L:$L,313)="",IF(INDEX($S:$S,313)="Yes",1,""),IF(COUNTIFS($L$7:$L$506,INDEX($L:$L,313),$S$7:$S$506,"Yes")&gt;0,1,"")))</f>
        <v/>
      </c>
      <c r="AP313" s="95" t="str">
        <f aca="false">IF(AN313&lt;&gt;1,"",IF(INDEX($L:$L,313)&lt;&gt;"",INDEX($L:$L,313),TRIM(INDEX($D:$D,313)&amp;" "&amp;INDEX($C:$C,313))))</f>
        <v/>
      </c>
      <c r="AQ313" s="43" t="str">
        <f aca="false">IF(OR(AI313="",INDEX($I:$I,313)="Yes"),"",1)</f>
        <v/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customFormat="false" ht="21.75" hidden="false" customHeight="true" outlineLevel="0" collapsed="false">
      <c r="A314" s="1"/>
      <c r="B314" s="113" t="str">
        <f aca="false">IF(AI314="","",COUNT($AI$7:AI314))</f>
        <v/>
      </c>
      <c r="C314" s="114"/>
      <c r="D314" s="114"/>
      <c r="E314" s="114"/>
      <c r="F314" s="114"/>
      <c r="G314" s="115"/>
      <c r="H314" s="115"/>
      <c r="I314" s="115"/>
      <c r="J314" s="115"/>
      <c r="K314" s="115"/>
      <c r="L314" s="114"/>
      <c r="M314" s="114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4"/>
      <c r="Y314" s="114"/>
      <c r="Z314" s="115"/>
      <c r="AA314" s="114"/>
      <c r="AB314" s="114"/>
      <c r="AC314" s="115"/>
      <c r="AD314" s="116"/>
      <c r="AE314" s="114"/>
      <c r="AF314" s="114"/>
      <c r="AG314" s="114"/>
      <c r="AH314" s="1"/>
      <c r="AI314" s="95" t="str">
        <f aca="false">IF(INDEX($C:$C,314)&amp;INDEX($D:$D,314)="","",1)</f>
        <v/>
      </c>
      <c r="AJ314" s="95" t="str">
        <f aca="false">IF(OR(AI314="",INDEX($Z:$Z,314)="",INDEX($U:$U,314)="Declined"),"",1)</f>
        <v/>
      </c>
      <c r="AK314" s="95" t="str">
        <f aca="false">IF(AJ314="","",INDEX($Z:$Z,314)&amp;"-"&amp;COUNTIFS($Z$7:Z314,INDEX($Z:$Z,314),$AJ$7:AJ314,1))</f>
        <v/>
      </c>
      <c r="AL314" s="43" t="str">
        <f aca="false">IF(AI314="","",TRIM(INDEX($D:$D,314)&amp;" "&amp;INDEX($C:$C,314))&amp;IF(INDEX($I:$I,314)="Yes"," (child)",""))</f>
        <v/>
      </c>
      <c r="AM314" s="95" t="str">
        <f aca="false">IF(OR(AI314="",INDEX($X:$X,314)="",INDEX($U:$U,314)="Declined"),"",COUNTIFS($X$7:X314,"?*",$U$7:U314,"&lt;&gt;Declined",$AI$7:AI314,1))</f>
        <v/>
      </c>
      <c r="AN314" s="95" t="str">
        <f aca="false">IF(AI314="","",IF(INDEX($L:$L,314)="",1,IF(COUNTIF($L$7:L314,INDEX($L:$L,314))=1,1,"")))</f>
        <v/>
      </c>
      <c r="AO314" s="95" t="str">
        <f aca="false">IF(AN314&lt;&gt;1,"",IF(INDEX($L:$L,314)="",IF(INDEX($S:$S,314)="Yes",1,""),IF(COUNTIFS($L$7:$L$506,INDEX($L:$L,314),$S$7:$S$506,"Yes")&gt;0,1,"")))</f>
        <v/>
      </c>
      <c r="AP314" s="95" t="str">
        <f aca="false">IF(AN314&lt;&gt;1,"",IF(INDEX($L:$L,314)&lt;&gt;"",INDEX($L:$L,314),TRIM(INDEX($D:$D,314)&amp;" "&amp;INDEX($C:$C,314))))</f>
        <v/>
      </c>
      <c r="AQ314" s="43" t="str">
        <f aca="false">IF(OR(AI314="",INDEX($I:$I,314)="Yes"),"",1)</f>
        <v/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customFormat="false" ht="21.75" hidden="false" customHeight="true" outlineLevel="0" collapsed="false">
      <c r="A315" s="1"/>
      <c r="B315" s="113" t="str">
        <f aca="false">IF(AI315="","",COUNT($AI$7:AI315))</f>
        <v/>
      </c>
      <c r="C315" s="114"/>
      <c r="D315" s="114"/>
      <c r="E315" s="114"/>
      <c r="F315" s="114"/>
      <c r="G315" s="115"/>
      <c r="H315" s="115"/>
      <c r="I315" s="115"/>
      <c r="J315" s="115"/>
      <c r="K315" s="115"/>
      <c r="L315" s="114"/>
      <c r="M315" s="114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4"/>
      <c r="Y315" s="114"/>
      <c r="Z315" s="115"/>
      <c r="AA315" s="114"/>
      <c r="AB315" s="114"/>
      <c r="AC315" s="115"/>
      <c r="AD315" s="116"/>
      <c r="AE315" s="114"/>
      <c r="AF315" s="114"/>
      <c r="AG315" s="114"/>
      <c r="AH315" s="1"/>
      <c r="AI315" s="95" t="str">
        <f aca="false">IF(INDEX($C:$C,315)&amp;INDEX($D:$D,315)="","",1)</f>
        <v/>
      </c>
      <c r="AJ315" s="95" t="str">
        <f aca="false">IF(OR(AI315="",INDEX($Z:$Z,315)="",INDEX($U:$U,315)="Declined"),"",1)</f>
        <v/>
      </c>
      <c r="AK315" s="95" t="str">
        <f aca="false">IF(AJ315="","",INDEX($Z:$Z,315)&amp;"-"&amp;COUNTIFS($Z$7:Z315,INDEX($Z:$Z,315),$AJ$7:AJ315,1))</f>
        <v/>
      </c>
      <c r="AL315" s="43" t="str">
        <f aca="false">IF(AI315="","",TRIM(INDEX($D:$D,315)&amp;" "&amp;INDEX($C:$C,315))&amp;IF(INDEX($I:$I,315)="Yes"," (child)",""))</f>
        <v/>
      </c>
      <c r="AM315" s="95" t="str">
        <f aca="false">IF(OR(AI315="",INDEX($X:$X,315)="",INDEX($U:$U,315)="Declined"),"",COUNTIFS($X$7:X315,"?*",$U$7:U315,"&lt;&gt;Declined",$AI$7:AI315,1))</f>
        <v/>
      </c>
      <c r="AN315" s="95" t="str">
        <f aca="false">IF(AI315="","",IF(INDEX($L:$L,315)="",1,IF(COUNTIF($L$7:L315,INDEX($L:$L,315))=1,1,"")))</f>
        <v/>
      </c>
      <c r="AO315" s="95" t="str">
        <f aca="false">IF(AN315&lt;&gt;1,"",IF(INDEX($L:$L,315)="",IF(INDEX($S:$S,315)="Yes",1,""),IF(COUNTIFS($L$7:$L$506,INDEX($L:$L,315),$S$7:$S$506,"Yes")&gt;0,1,"")))</f>
        <v/>
      </c>
      <c r="AP315" s="95" t="str">
        <f aca="false">IF(AN315&lt;&gt;1,"",IF(INDEX($L:$L,315)&lt;&gt;"",INDEX($L:$L,315),TRIM(INDEX($D:$D,315)&amp;" "&amp;INDEX($C:$C,315))))</f>
        <v/>
      </c>
      <c r="AQ315" s="43" t="str">
        <f aca="false">IF(OR(AI315="",INDEX($I:$I,315)="Yes"),"",1)</f>
        <v/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customFormat="false" ht="21.75" hidden="false" customHeight="true" outlineLevel="0" collapsed="false">
      <c r="A316" s="1"/>
      <c r="B316" s="113" t="str">
        <f aca="false">IF(AI316="","",COUNT($AI$7:AI316))</f>
        <v/>
      </c>
      <c r="C316" s="114"/>
      <c r="D316" s="114"/>
      <c r="E316" s="114"/>
      <c r="F316" s="114"/>
      <c r="G316" s="115"/>
      <c r="H316" s="115"/>
      <c r="I316" s="115"/>
      <c r="J316" s="115"/>
      <c r="K316" s="115"/>
      <c r="L316" s="114"/>
      <c r="M316" s="114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4"/>
      <c r="Y316" s="114"/>
      <c r="Z316" s="115"/>
      <c r="AA316" s="114"/>
      <c r="AB316" s="114"/>
      <c r="AC316" s="115"/>
      <c r="AD316" s="116"/>
      <c r="AE316" s="114"/>
      <c r="AF316" s="114"/>
      <c r="AG316" s="114"/>
      <c r="AH316" s="1"/>
      <c r="AI316" s="95" t="str">
        <f aca="false">IF(INDEX($C:$C,316)&amp;INDEX($D:$D,316)="","",1)</f>
        <v/>
      </c>
      <c r="AJ316" s="95" t="str">
        <f aca="false">IF(OR(AI316="",INDEX($Z:$Z,316)="",INDEX($U:$U,316)="Declined"),"",1)</f>
        <v/>
      </c>
      <c r="AK316" s="95" t="str">
        <f aca="false">IF(AJ316="","",INDEX($Z:$Z,316)&amp;"-"&amp;COUNTIFS($Z$7:Z316,INDEX($Z:$Z,316),$AJ$7:AJ316,1))</f>
        <v/>
      </c>
      <c r="AL316" s="43" t="str">
        <f aca="false">IF(AI316="","",TRIM(INDEX($D:$D,316)&amp;" "&amp;INDEX($C:$C,316))&amp;IF(INDEX($I:$I,316)="Yes"," (child)",""))</f>
        <v/>
      </c>
      <c r="AM316" s="95" t="str">
        <f aca="false">IF(OR(AI316="",INDEX($X:$X,316)="",INDEX($U:$U,316)="Declined"),"",COUNTIFS($X$7:X316,"?*",$U$7:U316,"&lt;&gt;Declined",$AI$7:AI316,1))</f>
        <v/>
      </c>
      <c r="AN316" s="95" t="str">
        <f aca="false">IF(AI316="","",IF(INDEX($L:$L,316)="",1,IF(COUNTIF($L$7:L316,INDEX($L:$L,316))=1,1,"")))</f>
        <v/>
      </c>
      <c r="AO316" s="95" t="str">
        <f aca="false">IF(AN316&lt;&gt;1,"",IF(INDEX($L:$L,316)="",IF(INDEX($S:$S,316)="Yes",1,""),IF(COUNTIFS($L$7:$L$506,INDEX($L:$L,316),$S$7:$S$506,"Yes")&gt;0,1,"")))</f>
        <v/>
      </c>
      <c r="AP316" s="95" t="str">
        <f aca="false">IF(AN316&lt;&gt;1,"",IF(INDEX($L:$L,316)&lt;&gt;"",INDEX($L:$L,316),TRIM(INDEX($D:$D,316)&amp;" "&amp;INDEX($C:$C,316))))</f>
        <v/>
      </c>
      <c r="AQ316" s="43" t="str">
        <f aca="false">IF(OR(AI316="",INDEX($I:$I,316)="Yes"),"",1)</f>
        <v/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customFormat="false" ht="21.75" hidden="false" customHeight="true" outlineLevel="0" collapsed="false">
      <c r="A317" s="1"/>
      <c r="B317" s="113" t="str">
        <f aca="false">IF(AI317="","",COUNT($AI$7:AI317))</f>
        <v/>
      </c>
      <c r="C317" s="114"/>
      <c r="D317" s="114"/>
      <c r="E317" s="114"/>
      <c r="F317" s="114"/>
      <c r="G317" s="115"/>
      <c r="H317" s="115"/>
      <c r="I317" s="115"/>
      <c r="J317" s="115"/>
      <c r="K317" s="115"/>
      <c r="L317" s="114"/>
      <c r="M317" s="114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4"/>
      <c r="Y317" s="114"/>
      <c r="Z317" s="115"/>
      <c r="AA317" s="114"/>
      <c r="AB317" s="114"/>
      <c r="AC317" s="115"/>
      <c r="AD317" s="116"/>
      <c r="AE317" s="114"/>
      <c r="AF317" s="114"/>
      <c r="AG317" s="114"/>
      <c r="AH317" s="1"/>
      <c r="AI317" s="95" t="str">
        <f aca="false">IF(INDEX($C:$C,317)&amp;INDEX($D:$D,317)="","",1)</f>
        <v/>
      </c>
      <c r="AJ317" s="95" t="str">
        <f aca="false">IF(OR(AI317="",INDEX($Z:$Z,317)="",INDEX($U:$U,317)="Declined"),"",1)</f>
        <v/>
      </c>
      <c r="AK317" s="95" t="str">
        <f aca="false">IF(AJ317="","",INDEX($Z:$Z,317)&amp;"-"&amp;COUNTIFS($Z$7:Z317,INDEX($Z:$Z,317),$AJ$7:AJ317,1))</f>
        <v/>
      </c>
      <c r="AL317" s="43" t="str">
        <f aca="false">IF(AI317="","",TRIM(INDEX($D:$D,317)&amp;" "&amp;INDEX($C:$C,317))&amp;IF(INDEX($I:$I,317)="Yes"," (child)",""))</f>
        <v/>
      </c>
      <c r="AM317" s="95" t="str">
        <f aca="false">IF(OR(AI317="",INDEX($X:$X,317)="",INDEX($U:$U,317)="Declined"),"",COUNTIFS($X$7:X317,"?*",$U$7:U317,"&lt;&gt;Declined",$AI$7:AI317,1))</f>
        <v/>
      </c>
      <c r="AN317" s="95" t="str">
        <f aca="false">IF(AI317="","",IF(INDEX($L:$L,317)="",1,IF(COUNTIF($L$7:L317,INDEX($L:$L,317))=1,1,"")))</f>
        <v/>
      </c>
      <c r="AO317" s="95" t="str">
        <f aca="false">IF(AN317&lt;&gt;1,"",IF(INDEX($L:$L,317)="",IF(INDEX($S:$S,317)="Yes",1,""),IF(COUNTIFS($L$7:$L$506,INDEX($L:$L,317),$S$7:$S$506,"Yes")&gt;0,1,"")))</f>
        <v/>
      </c>
      <c r="AP317" s="95" t="str">
        <f aca="false">IF(AN317&lt;&gt;1,"",IF(INDEX($L:$L,317)&lt;&gt;"",INDEX($L:$L,317),TRIM(INDEX($D:$D,317)&amp;" "&amp;INDEX($C:$C,317))))</f>
        <v/>
      </c>
      <c r="AQ317" s="43" t="str">
        <f aca="false">IF(OR(AI317="",INDEX($I:$I,317)="Yes"),"",1)</f>
        <v/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customFormat="false" ht="21.75" hidden="false" customHeight="true" outlineLevel="0" collapsed="false">
      <c r="A318" s="1"/>
      <c r="B318" s="113" t="str">
        <f aca="false">IF(AI318="","",COUNT($AI$7:AI318))</f>
        <v/>
      </c>
      <c r="C318" s="114"/>
      <c r="D318" s="114"/>
      <c r="E318" s="114"/>
      <c r="F318" s="114"/>
      <c r="G318" s="115"/>
      <c r="H318" s="115"/>
      <c r="I318" s="115"/>
      <c r="J318" s="115"/>
      <c r="K318" s="115"/>
      <c r="L318" s="114"/>
      <c r="M318" s="114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4"/>
      <c r="Y318" s="114"/>
      <c r="Z318" s="115"/>
      <c r="AA318" s="114"/>
      <c r="AB318" s="114"/>
      <c r="AC318" s="115"/>
      <c r="AD318" s="116"/>
      <c r="AE318" s="114"/>
      <c r="AF318" s="114"/>
      <c r="AG318" s="114"/>
      <c r="AH318" s="1"/>
      <c r="AI318" s="95" t="str">
        <f aca="false">IF(INDEX($C:$C,318)&amp;INDEX($D:$D,318)="","",1)</f>
        <v/>
      </c>
      <c r="AJ318" s="95" t="str">
        <f aca="false">IF(OR(AI318="",INDEX($Z:$Z,318)="",INDEX($U:$U,318)="Declined"),"",1)</f>
        <v/>
      </c>
      <c r="AK318" s="95" t="str">
        <f aca="false">IF(AJ318="","",INDEX($Z:$Z,318)&amp;"-"&amp;COUNTIFS($Z$7:Z318,INDEX($Z:$Z,318),$AJ$7:AJ318,1))</f>
        <v/>
      </c>
      <c r="AL318" s="43" t="str">
        <f aca="false">IF(AI318="","",TRIM(INDEX($D:$D,318)&amp;" "&amp;INDEX($C:$C,318))&amp;IF(INDEX($I:$I,318)="Yes"," (child)",""))</f>
        <v/>
      </c>
      <c r="AM318" s="95" t="str">
        <f aca="false">IF(OR(AI318="",INDEX($X:$X,318)="",INDEX($U:$U,318)="Declined"),"",COUNTIFS($X$7:X318,"?*",$U$7:U318,"&lt;&gt;Declined",$AI$7:AI318,1))</f>
        <v/>
      </c>
      <c r="AN318" s="95" t="str">
        <f aca="false">IF(AI318="","",IF(INDEX($L:$L,318)="",1,IF(COUNTIF($L$7:L318,INDEX($L:$L,318))=1,1,"")))</f>
        <v/>
      </c>
      <c r="AO318" s="95" t="str">
        <f aca="false">IF(AN318&lt;&gt;1,"",IF(INDEX($L:$L,318)="",IF(INDEX($S:$S,318)="Yes",1,""),IF(COUNTIFS($L$7:$L$506,INDEX($L:$L,318),$S$7:$S$506,"Yes")&gt;0,1,"")))</f>
        <v/>
      </c>
      <c r="AP318" s="95" t="str">
        <f aca="false">IF(AN318&lt;&gt;1,"",IF(INDEX($L:$L,318)&lt;&gt;"",INDEX($L:$L,318),TRIM(INDEX($D:$D,318)&amp;" "&amp;INDEX($C:$C,318))))</f>
        <v/>
      </c>
      <c r="AQ318" s="43" t="str">
        <f aca="false">IF(OR(AI318="",INDEX($I:$I,318)="Yes"),"",1)</f>
        <v/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customFormat="false" ht="21.75" hidden="false" customHeight="true" outlineLevel="0" collapsed="false">
      <c r="A319" s="1"/>
      <c r="B319" s="113" t="str">
        <f aca="false">IF(AI319="","",COUNT($AI$7:AI319))</f>
        <v/>
      </c>
      <c r="C319" s="114"/>
      <c r="D319" s="114"/>
      <c r="E319" s="114"/>
      <c r="F319" s="114"/>
      <c r="G319" s="115"/>
      <c r="H319" s="115"/>
      <c r="I319" s="115"/>
      <c r="J319" s="115"/>
      <c r="K319" s="115"/>
      <c r="L319" s="114"/>
      <c r="M319" s="114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4"/>
      <c r="Y319" s="114"/>
      <c r="Z319" s="115"/>
      <c r="AA319" s="114"/>
      <c r="AB319" s="114"/>
      <c r="AC319" s="115"/>
      <c r="AD319" s="116"/>
      <c r="AE319" s="114"/>
      <c r="AF319" s="114"/>
      <c r="AG319" s="114"/>
      <c r="AH319" s="1"/>
      <c r="AI319" s="95" t="str">
        <f aca="false">IF(INDEX($C:$C,319)&amp;INDEX($D:$D,319)="","",1)</f>
        <v/>
      </c>
      <c r="AJ319" s="95" t="str">
        <f aca="false">IF(OR(AI319="",INDEX($Z:$Z,319)="",INDEX($U:$U,319)="Declined"),"",1)</f>
        <v/>
      </c>
      <c r="AK319" s="95" t="str">
        <f aca="false">IF(AJ319="","",INDEX($Z:$Z,319)&amp;"-"&amp;COUNTIFS($Z$7:Z319,INDEX($Z:$Z,319),$AJ$7:AJ319,1))</f>
        <v/>
      </c>
      <c r="AL319" s="43" t="str">
        <f aca="false">IF(AI319="","",TRIM(INDEX($D:$D,319)&amp;" "&amp;INDEX($C:$C,319))&amp;IF(INDEX($I:$I,319)="Yes"," (child)",""))</f>
        <v/>
      </c>
      <c r="AM319" s="95" t="str">
        <f aca="false">IF(OR(AI319="",INDEX($X:$X,319)="",INDEX($U:$U,319)="Declined"),"",COUNTIFS($X$7:X319,"?*",$U$7:U319,"&lt;&gt;Declined",$AI$7:AI319,1))</f>
        <v/>
      </c>
      <c r="AN319" s="95" t="str">
        <f aca="false">IF(AI319="","",IF(INDEX($L:$L,319)="",1,IF(COUNTIF($L$7:L319,INDEX($L:$L,319))=1,1,"")))</f>
        <v/>
      </c>
      <c r="AO319" s="95" t="str">
        <f aca="false">IF(AN319&lt;&gt;1,"",IF(INDEX($L:$L,319)="",IF(INDEX($S:$S,319)="Yes",1,""),IF(COUNTIFS($L$7:$L$506,INDEX($L:$L,319),$S$7:$S$506,"Yes")&gt;0,1,"")))</f>
        <v/>
      </c>
      <c r="AP319" s="95" t="str">
        <f aca="false">IF(AN319&lt;&gt;1,"",IF(INDEX($L:$L,319)&lt;&gt;"",INDEX($L:$L,319),TRIM(INDEX($D:$D,319)&amp;" "&amp;INDEX($C:$C,319))))</f>
        <v/>
      </c>
      <c r="AQ319" s="43" t="str">
        <f aca="false">IF(OR(AI319="",INDEX($I:$I,319)="Yes"),"",1)</f>
        <v/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customFormat="false" ht="21.75" hidden="false" customHeight="true" outlineLevel="0" collapsed="false">
      <c r="A320" s="1"/>
      <c r="B320" s="113" t="str">
        <f aca="false">IF(AI320="","",COUNT($AI$7:AI320))</f>
        <v/>
      </c>
      <c r="C320" s="114"/>
      <c r="D320" s="114"/>
      <c r="E320" s="114"/>
      <c r="F320" s="114"/>
      <c r="G320" s="115"/>
      <c r="H320" s="115"/>
      <c r="I320" s="115"/>
      <c r="J320" s="115"/>
      <c r="K320" s="115"/>
      <c r="L320" s="114"/>
      <c r="M320" s="114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4"/>
      <c r="Y320" s="114"/>
      <c r="Z320" s="115"/>
      <c r="AA320" s="114"/>
      <c r="AB320" s="114"/>
      <c r="AC320" s="115"/>
      <c r="AD320" s="116"/>
      <c r="AE320" s="114"/>
      <c r="AF320" s="114"/>
      <c r="AG320" s="114"/>
      <c r="AH320" s="1"/>
      <c r="AI320" s="95" t="str">
        <f aca="false">IF(INDEX($C:$C,320)&amp;INDEX($D:$D,320)="","",1)</f>
        <v/>
      </c>
      <c r="AJ320" s="95" t="str">
        <f aca="false">IF(OR(AI320="",INDEX($Z:$Z,320)="",INDEX($U:$U,320)="Declined"),"",1)</f>
        <v/>
      </c>
      <c r="AK320" s="95" t="str">
        <f aca="false">IF(AJ320="","",INDEX($Z:$Z,320)&amp;"-"&amp;COUNTIFS($Z$7:Z320,INDEX($Z:$Z,320),$AJ$7:AJ320,1))</f>
        <v/>
      </c>
      <c r="AL320" s="43" t="str">
        <f aca="false">IF(AI320="","",TRIM(INDEX($D:$D,320)&amp;" "&amp;INDEX($C:$C,320))&amp;IF(INDEX($I:$I,320)="Yes"," (child)",""))</f>
        <v/>
      </c>
      <c r="AM320" s="95" t="str">
        <f aca="false">IF(OR(AI320="",INDEX($X:$X,320)="",INDEX($U:$U,320)="Declined"),"",COUNTIFS($X$7:X320,"?*",$U$7:U320,"&lt;&gt;Declined",$AI$7:AI320,1))</f>
        <v/>
      </c>
      <c r="AN320" s="95" t="str">
        <f aca="false">IF(AI320="","",IF(INDEX($L:$L,320)="",1,IF(COUNTIF($L$7:L320,INDEX($L:$L,320))=1,1,"")))</f>
        <v/>
      </c>
      <c r="AO320" s="95" t="str">
        <f aca="false">IF(AN320&lt;&gt;1,"",IF(INDEX($L:$L,320)="",IF(INDEX($S:$S,320)="Yes",1,""),IF(COUNTIFS($L$7:$L$506,INDEX($L:$L,320),$S$7:$S$506,"Yes")&gt;0,1,"")))</f>
        <v/>
      </c>
      <c r="AP320" s="95" t="str">
        <f aca="false">IF(AN320&lt;&gt;1,"",IF(INDEX($L:$L,320)&lt;&gt;"",INDEX($L:$L,320),TRIM(INDEX($D:$D,320)&amp;" "&amp;INDEX($C:$C,320))))</f>
        <v/>
      </c>
      <c r="AQ320" s="43" t="str">
        <f aca="false">IF(OR(AI320="",INDEX($I:$I,320)="Yes"),"",1)</f>
        <v/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customFormat="false" ht="21.75" hidden="false" customHeight="true" outlineLevel="0" collapsed="false">
      <c r="A321" s="1"/>
      <c r="B321" s="113" t="str">
        <f aca="false">IF(AI321="","",COUNT($AI$7:AI321))</f>
        <v/>
      </c>
      <c r="C321" s="114"/>
      <c r="D321" s="114"/>
      <c r="E321" s="114"/>
      <c r="F321" s="114"/>
      <c r="G321" s="115"/>
      <c r="H321" s="115"/>
      <c r="I321" s="115"/>
      <c r="J321" s="115"/>
      <c r="K321" s="115"/>
      <c r="L321" s="114"/>
      <c r="M321" s="114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4"/>
      <c r="Y321" s="114"/>
      <c r="Z321" s="115"/>
      <c r="AA321" s="114"/>
      <c r="AB321" s="114"/>
      <c r="AC321" s="115"/>
      <c r="AD321" s="116"/>
      <c r="AE321" s="114"/>
      <c r="AF321" s="114"/>
      <c r="AG321" s="114"/>
      <c r="AH321" s="1"/>
      <c r="AI321" s="95" t="str">
        <f aca="false">IF(INDEX($C:$C,321)&amp;INDEX($D:$D,321)="","",1)</f>
        <v/>
      </c>
      <c r="AJ321" s="95" t="str">
        <f aca="false">IF(OR(AI321="",INDEX($Z:$Z,321)="",INDEX($U:$U,321)="Declined"),"",1)</f>
        <v/>
      </c>
      <c r="AK321" s="95" t="str">
        <f aca="false">IF(AJ321="","",INDEX($Z:$Z,321)&amp;"-"&amp;COUNTIFS($Z$7:Z321,INDEX($Z:$Z,321),$AJ$7:AJ321,1))</f>
        <v/>
      </c>
      <c r="AL321" s="43" t="str">
        <f aca="false">IF(AI321="","",TRIM(INDEX($D:$D,321)&amp;" "&amp;INDEX($C:$C,321))&amp;IF(INDEX($I:$I,321)="Yes"," (child)",""))</f>
        <v/>
      </c>
      <c r="AM321" s="95" t="str">
        <f aca="false">IF(OR(AI321="",INDEX($X:$X,321)="",INDEX($U:$U,321)="Declined"),"",COUNTIFS($X$7:X321,"?*",$U$7:U321,"&lt;&gt;Declined",$AI$7:AI321,1))</f>
        <v/>
      </c>
      <c r="AN321" s="95" t="str">
        <f aca="false">IF(AI321="","",IF(INDEX($L:$L,321)="",1,IF(COUNTIF($L$7:L321,INDEX($L:$L,321))=1,1,"")))</f>
        <v/>
      </c>
      <c r="AO321" s="95" t="str">
        <f aca="false">IF(AN321&lt;&gt;1,"",IF(INDEX($L:$L,321)="",IF(INDEX($S:$S,321)="Yes",1,""),IF(COUNTIFS($L$7:$L$506,INDEX($L:$L,321),$S$7:$S$506,"Yes")&gt;0,1,"")))</f>
        <v/>
      </c>
      <c r="AP321" s="95" t="str">
        <f aca="false">IF(AN321&lt;&gt;1,"",IF(INDEX($L:$L,321)&lt;&gt;"",INDEX($L:$L,321),TRIM(INDEX($D:$D,321)&amp;" "&amp;INDEX($C:$C,321))))</f>
        <v/>
      </c>
      <c r="AQ321" s="43" t="str">
        <f aca="false">IF(OR(AI321="",INDEX($I:$I,321)="Yes"),"",1)</f>
        <v/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customFormat="false" ht="21.75" hidden="false" customHeight="true" outlineLevel="0" collapsed="false">
      <c r="A322" s="1"/>
      <c r="B322" s="113" t="str">
        <f aca="false">IF(AI322="","",COUNT($AI$7:AI322))</f>
        <v/>
      </c>
      <c r="C322" s="114"/>
      <c r="D322" s="114"/>
      <c r="E322" s="114"/>
      <c r="F322" s="114"/>
      <c r="G322" s="115"/>
      <c r="H322" s="115"/>
      <c r="I322" s="115"/>
      <c r="J322" s="115"/>
      <c r="K322" s="115"/>
      <c r="L322" s="114"/>
      <c r="M322" s="114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4"/>
      <c r="Y322" s="114"/>
      <c r="Z322" s="115"/>
      <c r="AA322" s="114"/>
      <c r="AB322" s="114"/>
      <c r="AC322" s="115"/>
      <c r="AD322" s="116"/>
      <c r="AE322" s="114"/>
      <c r="AF322" s="114"/>
      <c r="AG322" s="114"/>
      <c r="AH322" s="1"/>
      <c r="AI322" s="95" t="str">
        <f aca="false">IF(INDEX($C:$C,322)&amp;INDEX($D:$D,322)="","",1)</f>
        <v/>
      </c>
      <c r="AJ322" s="95" t="str">
        <f aca="false">IF(OR(AI322="",INDEX($Z:$Z,322)="",INDEX($U:$U,322)="Declined"),"",1)</f>
        <v/>
      </c>
      <c r="AK322" s="95" t="str">
        <f aca="false">IF(AJ322="","",INDEX($Z:$Z,322)&amp;"-"&amp;COUNTIFS($Z$7:Z322,INDEX($Z:$Z,322),$AJ$7:AJ322,1))</f>
        <v/>
      </c>
      <c r="AL322" s="43" t="str">
        <f aca="false">IF(AI322="","",TRIM(INDEX($D:$D,322)&amp;" "&amp;INDEX($C:$C,322))&amp;IF(INDEX($I:$I,322)="Yes"," (child)",""))</f>
        <v/>
      </c>
      <c r="AM322" s="95" t="str">
        <f aca="false">IF(OR(AI322="",INDEX($X:$X,322)="",INDEX($U:$U,322)="Declined"),"",COUNTIFS($X$7:X322,"?*",$U$7:U322,"&lt;&gt;Declined",$AI$7:AI322,1))</f>
        <v/>
      </c>
      <c r="AN322" s="95" t="str">
        <f aca="false">IF(AI322="","",IF(INDEX($L:$L,322)="",1,IF(COUNTIF($L$7:L322,INDEX($L:$L,322))=1,1,"")))</f>
        <v/>
      </c>
      <c r="AO322" s="95" t="str">
        <f aca="false">IF(AN322&lt;&gt;1,"",IF(INDEX($L:$L,322)="",IF(INDEX($S:$S,322)="Yes",1,""),IF(COUNTIFS($L$7:$L$506,INDEX($L:$L,322),$S$7:$S$506,"Yes")&gt;0,1,"")))</f>
        <v/>
      </c>
      <c r="AP322" s="95" t="str">
        <f aca="false">IF(AN322&lt;&gt;1,"",IF(INDEX($L:$L,322)&lt;&gt;"",INDEX($L:$L,322),TRIM(INDEX($D:$D,322)&amp;" "&amp;INDEX($C:$C,322))))</f>
        <v/>
      </c>
      <c r="AQ322" s="43" t="str">
        <f aca="false">IF(OR(AI322="",INDEX($I:$I,322)="Yes"),"",1)</f>
        <v/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customFormat="false" ht="21.75" hidden="false" customHeight="true" outlineLevel="0" collapsed="false">
      <c r="A323" s="1"/>
      <c r="B323" s="113" t="str">
        <f aca="false">IF(AI323="","",COUNT($AI$7:AI323))</f>
        <v/>
      </c>
      <c r="C323" s="114"/>
      <c r="D323" s="114"/>
      <c r="E323" s="114"/>
      <c r="F323" s="114"/>
      <c r="G323" s="115"/>
      <c r="H323" s="115"/>
      <c r="I323" s="115"/>
      <c r="J323" s="115"/>
      <c r="K323" s="115"/>
      <c r="L323" s="114"/>
      <c r="M323" s="114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4"/>
      <c r="Y323" s="114"/>
      <c r="Z323" s="115"/>
      <c r="AA323" s="114"/>
      <c r="AB323" s="114"/>
      <c r="AC323" s="115"/>
      <c r="AD323" s="116"/>
      <c r="AE323" s="114"/>
      <c r="AF323" s="114"/>
      <c r="AG323" s="114"/>
      <c r="AH323" s="1"/>
      <c r="AI323" s="95" t="str">
        <f aca="false">IF(INDEX($C:$C,323)&amp;INDEX($D:$D,323)="","",1)</f>
        <v/>
      </c>
      <c r="AJ323" s="95" t="str">
        <f aca="false">IF(OR(AI323="",INDEX($Z:$Z,323)="",INDEX($U:$U,323)="Declined"),"",1)</f>
        <v/>
      </c>
      <c r="AK323" s="95" t="str">
        <f aca="false">IF(AJ323="","",INDEX($Z:$Z,323)&amp;"-"&amp;COUNTIFS($Z$7:Z323,INDEX($Z:$Z,323),$AJ$7:AJ323,1))</f>
        <v/>
      </c>
      <c r="AL323" s="43" t="str">
        <f aca="false">IF(AI323="","",TRIM(INDEX($D:$D,323)&amp;" "&amp;INDEX($C:$C,323))&amp;IF(INDEX($I:$I,323)="Yes"," (child)",""))</f>
        <v/>
      </c>
      <c r="AM323" s="95" t="str">
        <f aca="false">IF(OR(AI323="",INDEX($X:$X,323)="",INDEX($U:$U,323)="Declined"),"",COUNTIFS($X$7:X323,"?*",$U$7:U323,"&lt;&gt;Declined",$AI$7:AI323,1))</f>
        <v/>
      </c>
      <c r="AN323" s="95" t="str">
        <f aca="false">IF(AI323="","",IF(INDEX($L:$L,323)="",1,IF(COUNTIF($L$7:L323,INDEX($L:$L,323))=1,1,"")))</f>
        <v/>
      </c>
      <c r="AO323" s="95" t="str">
        <f aca="false">IF(AN323&lt;&gt;1,"",IF(INDEX($L:$L,323)="",IF(INDEX($S:$S,323)="Yes",1,""),IF(COUNTIFS($L$7:$L$506,INDEX($L:$L,323),$S$7:$S$506,"Yes")&gt;0,1,"")))</f>
        <v/>
      </c>
      <c r="AP323" s="95" t="str">
        <f aca="false">IF(AN323&lt;&gt;1,"",IF(INDEX($L:$L,323)&lt;&gt;"",INDEX($L:$L,323),TRIM(INDEX($D:$D,323)&amp;" "&amp;INDEX($C:$C,323))))</f>
        <v/>
      </c>
      <c r="AQ323" s="43" t="str">
        <f aca="false">IF(OR(AI323="",INDEX($I:$I,323)="Yes"),"",1)</f>
        <v/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customFormat="false" ht="21.75" hidden="false" customHeight="true" outlineLevel="0" collapsed="false">
      <c r="A324" s="1"/>
      <c r="B324" s="113" t="str">
        <f aca="false">IF(AI324="","",COUNT($AI$7:AI324))</f>
        <v/>
      </c>
      <c r="C324" s="114"/>
      <c r="D324" s="114"/>
      <c r="E324" s="114"/>
      <c r="F324" s="114"/>
      <c r="G324" s="115"/>
      <c r="H324" s="115"/>
      <c r="I324" s="115"/>
      <c r="J324" s="115"/>
      <c r="K324" s="115"/>
      <c r="L324" s="114"/>
      <c r="M324" s="114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4"/>
      <c r="Y324" s="114"/>
      <c r="Z324" s="115"/>
      <c r="AA324" s="114"/>
      <c r="AB324" s="114"/>
      <c r="AC324" s="115"/>
      <c r="AD324" s="116"/>
      <c r="AE324" s="114"/>
      <c r="AF324" s="114"/>
      <c r="AG324" s="114"/>
      <c r="AH324" s="1"/>
      <c r="AI324" s="95" t="str">
        <f aca="false">IF(INDEX($C:$C,324)&amp;INDEX($D:$D,324)="","",1)</f>
        <v/>
      </c>
      <c r="AJ324" s="95" t="str">
        <f aca="false">IF(OR(AI324="",INDEX($Z:$Z,324)="",INDEX($U:$U,324)="Declined"),"",1)</f>
        <v/>
      </c>
      <c r="AK324" s="95" t="str">
        <f aca="false">IF(AJ324="","",INDEX($Z:$Z,324)&amp;"-"&amp;COUNTIFS($Z$7:Z324,INDEX($Z:$Z,324),$AJ$7:AJ324,1))</f>
        <v/>
      </c>
      <c r="AL324" s="43" t="str">
        <f aca="false">IF(AI324="","",TRIM(INDEX($D:$D,324)&amp;" "&amp;INDEX($C:$C,324))&amp;IF(INDEX($I:$I,324)="Yes"," (child)",""))</f>
        <v/>
      </c>
      <c r="AM324" s="95" t="str">
        <f aca="false">IF(OR(AI324="",INDEX($X:$X,324)="",INDEX($U:$U,324)="Declined"),"",COUNTIFS($X$7:X324,"?*",$U$7:U324,"&lt;&gt;Declined",$AI$7:AI324,1))</f>
        <v/>
      </c>
      <c r="AN324" s="95" t="str">
        <f aca="false">IF(AI324="","",IF(INDEX($L:$L,324)="",1,IF(COUNTIF($L$7:L324,INDEX($L:$L,324))=1,1,"")))</f>
        <v/>
      </c>
      <c r="AO324" s="95" t="str">
        <f aca="false">IF(AN324&lt;&gt;1,"",IF(INDEX($L:$L,324)="",IF(INDEX($S:$S,324)="Yes",1,""),IF(COUNTIFS($L$7:$L$506,INDEX($L:$L,324),$S$7:$S$506,"Yes")&gt;0,1,"")))</f>
        <v/>
      </c>
      <c r="AP324" s="95" t="str">
        <f aca="false">IF(AN324&lt;&gt;1,"",IF(INDEX($L:$L,324)&lt;&gt;"",INDEX($L:$L,324),TRIM(INDEX($D:$D,324)&amp;" "&amp;INDEX($C:$C,324))))</f>
        <v/>
      </c>
      <c r="AQ324" s="43" t="str">
        <f aca="false">IF(OR(AI324="",INDEX($I:$I,324)="Yes"),"",1)</f>
        <v/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customFormat="false" ht="21.75" hidden="false" customHeight="true" outlineLevel="0" collapsed="false">
      <c r="A325" s="1"/>
      <c r="B325" s="113" t="str">
        <f aca="false">IF(AI325="","",COUNT($AI$7:AI325))</f>
        <v/>
      </c>
      <c r="C325" s="114"/>
      <c r="D325" s="114"/>
      <c r="E325" s="114"/>
      <c r="F325" s="114"/>
      <c r="G325" s="115"/>
      <c r="H325" s="115"/>
      <c r="I325" s="115"/>
      <c r="J325" s="115"/>
      <c r="K325" s="115"/>
      <c r="L325" s="114"/>
      <c r="M325" s="114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4"/>
      <c r="Y325" s="114"/>
      <c r="Z325" s="115"/>
      <c r="AA325" s="114"/>
      <c r="AB325" s="114"/>
      <c r="AC325" s="115"/>
      <c r="AD325" s="116"/>
      <c r="AE325" s="114"/>
      <c r="AF325" s="114"/>
      <c r="AG325" s="114"/>
      <c r="AH325" s="1"/>
      <c r="AI325" s="95" t="str">
        <f aca="false">IF(INDEX($C:$C,325)&amp;INDEX($D:$D,325)="","",1)</f>
        <v/>
      </c>
      <c r="AJ325" s="95" t="str">
        <f aca="false">IF(OR(AI325="",INDEX($Z:$Z,325)="",INDEX($U:$U,325)="Declined"),"",1)</f>
        <v/>
      </c>
      <c r="AK325" s="95" t="str">
        <f aca="false">IF(AJ325="","",INDEX($Z:$Z,325)&amp;"-"&amp;COUNTIFS($Z$7:Z325,INDEX($Z:$Z,325),$AJ$7:AJ325,1))</f>
        <v/>
      </c>
      <c r="AL325" s="43" t="str">
        <f aca="false">IF(AI325="","",TRIM(INDEX($D:$D,325)&amp;" "&amp;INDEX($C:$C,325))&amp;IF(INDEX($I:$I,325)="Yes"," (child)",""))</f>
        <v/>
      </c>
      <c r="AM325" s="95" t="str">
        <f aca="false">IF(OR(AI325="",INDEX($X:$X,325)="",INDEX($U:$U,325)="Declined"),"",COUNTIFS($X$7:X325,"?*",$U$7:U325,"&lt;&gt;Declined",$AI$7:AI325,1))</f>
        <v/>
      </c>
      <c r="AN325" s="95" t="str">
        <f aca="false">IF(AI325="","",IF(INDEX($L:$L,325)="",1,IF(COUNTIF($L$7:L325,INDEX($L:$L,325))=1,1,"")))</f>
        <v/>
      </c>
      <c r="AO325" s="95" t="str">
        <f aca="false">IF(AN325&lt;&gt;1,"",IF(INDEX($L:$L,325)="",IF(INDEX($S:$S,325)="Yes",1,""),IF(COUNTIFS($L$7:$L$506,INDEX($L:$L,325),$S$7:$S$506,"Yes")&gt;0,1,"")))</f>
        <v/>
      </c>
      <c r="AP325" s="95" t="str">
        <f aca="false">IF(AN325&lt;&gt;1,"",IF(INDEX($L:$L,325)&lt;&gt;"",INDEX($L:$L,325),TRIM(INDEX($D:$D,325)&amp;" "&amp;INDEX($C:$C,325))))</f>
        <v/>
      </c>
      <c r="AQ325" s="43" t="str">
        <f aca="false">IF(OR(AI325="",INDEX($I:$I,325)="Yes"),"",1)</f>
        <v/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customFormat="false" ht="21.75" hidden="false" customHeight="true" outlineLevel="0" collapsed="false">
      <c r="A326" s="1"/>
      <c r="B326" s="113" t="str">
        <f aca="false">IF(AI326="","",COUNT($AI$7:AI326))</f>
        <v/>
      </c>
      <c r="C326" s="114"/>
      <c r="D326" s="114"/>
      <c r="E326" s="114"/>
      <c r="F326" s="114"/>
      <c r="G326" s="115"/>
      <c r="H326" s="115"/>
      <c r="I326" s="115"/>
      <c r="J326" s="115"/>
      <c r="K326" s="115"/>
      <c r="L326" s="114"/>
      <c r="M326" s="114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4"/>
      <c r="Y326" s="114"/>
      <c r="Z326" s="115"/>
      <c r="AA326" s="114"/>
      <c r="AB326" s="114"/>
      <c r="AC326" s="115"/>
      <c r="AD326" s="116"/>
      <c r="AE326" s="114"/>
      <c r="AF326" s="114"/>
      <c r="AG326" s="114"/>
      <c r="AH326" s="1"/>
      <c r="AI326" s="95" t="str">
        <f aca="false">IF(INDEX($C:$C,326)&amp;INDEX($D:$D,326)="","",1)</f>
        <v/>
      </c>
      <c r="AJ326" s="95" t="str">
        <f aca="false">IF(OR(AI326="",INDEX($Z:$Z,326)="",INDEX($U:$U,326)="Declined"),"",1)</f>
        <v/>
      </c>
      <c r="AK326" s="95" t="str">
        <f aca="false">IF(AJ326="","",INDEX($Z:$Z,326)&amp;"-"&amp;COUNTIFS($Z$7:Z326,INDEX($Z:$Z,326),$AJ$7:AJ326,1))</f>
        <v/>
      </c>
      <c r="AL326" s="43" t="str">
        <f aca="false">IF(AI326="","",TRIM(INDEX($D:$D,326)&amp;" "&amp;INDEX($C:$C,326))&amp;IF(INDEX($I:$I,326)="Yes"," (child)",""))</f>
        <v/>
      </c>
      <c r="AM326" s="95" t="str">
        <f aca="false">IF(OR(AI326="",INDEX($X:$X,326)="",INDEX($U:$U,326)="Declined"),"",COUNTIFS($X$7:X326,"?*",$U$7:U326,"&lt;&gt;Declined",$AI$7:AI326,1))</f>
        <v/>
      </c>
      <c r="AN326" s="95" t="str">
        <f aca="false">IF(AI326="","",IF(INDEX($L:$L,326)="",1,IF(COUNTIF($L$7:L326,INDEX($L:$L,326))=1,1,"")))</f>
        <v/>
      </c>
      <c r="AO326" s="95" t="str">
        <f aca="false">IF(AN326&lt;&gt;1,"",IF(INDEX($L:$L,326)="",IF(INDEX($S:$S,326)="Yes",1,""),IF(COUNTIFS($L$7:$L$506,INDEX($L:$L,326),$S$7:$S$506,"Yes")&gt;0,1,"")))</f>
        <v/>
      </c>
      <c r="AP326" s="95" t="str">
        <f aca="false">IF(AN326&lt;&gt;1,"",IF(INDEX($L:$L,326)&lt;&gt;"",INDEX($L:$L,326),TRIM(INDEX($D:$D,326)&amp;" "&amp;INDEX($C:$C,326))))</f>
        <v/>
      </c>
      <c r="AQ326" s="43" t="str">
        <f aca="false">IF(OR(AI326="",INDEX($I:$I,326)="Yes"),"",1)</f>
        <v/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customFormat="false" ht="21.75" hidden="false" customHeight="true" outlineLevel="0" collapsed="false">
      <c r="A327" s="1"/>
      <c r="B327" s="113" t="str">
        <f aca="false">IF(AI327="","",COUNT($AI$7:AI327))</f>
        <v/>
      </c>
      <c r="C327" s="114"/>
      <c r="D327" s="114"/>
      <c r="E327" s="114"/>
      <c r="F327" s="114"/>
      <c r="G327" s="115"/>
      <c r="H327" s="115"/>
      <c r="I327" s="115"/>
      <c r="J327" s="115"/>
      <c r="K327" s="115"/>
      <c r="L327" s="114"/>
      <c r="M327" s="114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4"/>
      <c r="Y327" s="114"/>
      <c r="Z327" s="115"/>
      <c r="AA327" s="114"/>
      <c r="AB327" s="114"/>
      <c r="AC327" s="115"/>
      <c r="AD327" s="116"/>
      <c r="AE327" s="114"/>
      <c r="AF327" s="114"/>
      <c r="AG327" s="114"/>
      <c r="AH327" s="1"/>
      <c r="AI327" s="95" t="str">
        <f aca="false">IF(INDEX($C:$C,327)&amp;INDEX($D:$D,327)="","",1)</f>
        <v/>
      </c>
      <c r="AJ327" s="95" t="str">
        <f aca="false">IF(OR(AI327="",INDEX($Z:$Z,327)="",INDEX($U:$U,327)="Declined"),"",1)</f>
        <v/>
      </c>
      <c r="AK327" s="95" t="str">
        <f aca="false">IF(AJ327="","",INDEX($Z:$Z,327)&amp;"-"&amp;COUNTIFS($Z$7:Z327,INDEX($Z:$Z,327),$AJ$7:AJ327,1))</f>
        <v/>
      </c>
      <c r="AL327" s="43" t="str">
        <f aca="false">IF(AI327="","",TRIM(INDEX($D:$D,327)&amp;" "&amp;INDEX($C:$C,327))&amp;IF(INDEX($I:$I,327)="Yes"," (child)",""))</f>
        <v/>
      </c>
      <c r="AM327" s="95" t="str">
        <f aca="false">IF(OR(AI327="",INDEX($X:$X,327)="",INDEX($U:$U,327)="Declined"),"",COUNTIFS($X$7:X327,"?*",$U$7:U327,"&lt;&gt;Declined",$AI$7:AI327,1))</f>
        <v/>
      </c>
      <c r="AN327" s="95" t="str">
        <f aca="false">IF(AI327="","",IF(INDEX($L:$L,327)="",1,IF(COUNTIF($L$7:L327,INDEX($L:$L,327))=1,1,"")))</f>
        <v/>
      </c>
      <c r="AO327" s="95" t="str">
        <f aca="false">IF(AN327&lt;&gt;1,"",IF(INDEX($L:$L,327)="",IF(INDEX($S:$S,327)="Yes",1,""),IF(COUNTIFS($L$7:$L$506,INDEX($L:$L,327),$S$7:$S$506,"Yes")&gt;0,1,"")))</f>
        <v/>
      </c>
      <c r="AP327" s="95" t="str">
        <f aca="false">IF(AN327&lt;&gt;1,"",IF(INDEX($L:$L,327)&lt;&gt;"",INDEX($L:$L,327),TRIM(INDEX($D:$D,327)&amp;" "&amp;INDEX($C:$C,327))))</f>
        <v/>
      </c>
      <c r="AQ327" s="43" t="str">
        <f aca="false">IF(OR(AI327="",INDEX($I:$I,327)="Yes"),"",1)</f>
        <v/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customFormat="false" ht="21.75" hidden="false" customHeight="true" outlineLevel="0" collapsed="false">
      <c r="A328" s="1"/>
      <c r="B328" s="113" t="str">
        <f aca="false">IF(AI328="","",COUNT($AI$7:AI328))</f>
        <v/>
      </c>
      <c r="C328" s="114"/>
      <c r="D328" s="114"/>
      <c r="E328" s="114"/>
      <c r="F328" s="114"/>
      <c r="G328" s="115"/>
      <c r="H328" s="115"/>
      <c r="I328" s="115"/>
      <c r="J328" s="115"/>
      <c r="K328" s="115"/>
      <c r="L328" s="114"/>
      <c r="M328" s="114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4"/>
      <c r="Y328" s="114"/>
      <c r="Z328" s="115"/>
      <c r="AA328" s="114"/>
      <c r="AB328" s="114"/>
      <c r="AC328" s="115"/>
      <c r="AD328" s="116"/>
      <c r="AE328" s="114"/>
      <c r="AF328" s="114"/>
      <c r="AG328" s="114"/>
      <c r="AH328" s="1"/>
      <c r="AI328" s="95" t="str">
        <f aca="false">IF(INDEX($C:$C,328)&amp;INDEX($D:$D,328)="","",1)</f>
        <v/>
      </c>
      <c r="AJ328" s="95" t="str">
        <f aca="false">IF(OR(AI328="",INDEX($Z:$Z,328)="",INDEX($U:$U,328)="Declined"),"",1)</f>
        <v/>
      </c>
      <c r="AK328" s="95" t="str">
        <f aca="false">IF(AJ328="","",INDEX($Z:$Z,328)&amp;"-"&amp;COUNTIFS($Z$7:Z328,INDEX($Z:$Z,328),$AJ$7:AJ328,1))</f>
        <v/>
      </c>
      <c r="AL328" s="43" t="str">
        <f aca="false">IF(AI328="","",TRIM(INDEX($D:$D,328)&amp;" "&amp;INDEX($C:$C,328))&amp;IF(INDEX($I:$I,328)="Yes"," (child)",""))</f>
        <v/>
      </c>
      <c r="AM328" s="95" t="str">
        <f aca="false">IF(OR(AI328="",INDEX($X:$X,328)="",INDEX($U:$U,328)="Declined"),"",COUNTIFS($X$7:X328,"?*",$U$7:U328,"&lt;&gt;Declined",$AI$7:AI328,1))</f>
        <v/>
      </c>
      <c r="AN328" s="95" t="str">
        <f aca="false">IF(AI328="","",IF(INDEX($L:$L,328)="",1,IF(COUNTIF($L$7:L328,INDEX($L:$L,328))=1,1,"")))</f>
        <v/>
      </c>
      <c r="AO328" s="95" t="str">
        <f aca="false">IF(AN328&lt;&gt;1,"",IF(INDEX($L:$L,328)="",IF(INDEX($S:$S,328)="Yes",1,""),IF(COUNTIFS($L$7:$L$506,INDEX($L:$L,328),$S$7:$S$506,"Yes")&gt;0,1,"")))</f>
        <v/>
      </c>
      <c r="AP328" s="95" t="str">
        <f aca="false">IF(AN328&lt;&gt;1,"",IF(INDEX($L:$L,328)&lt;&gt;"",INDEX($L:$L,328),TRIM(INDEX($D:$D,328)&amp;" "&amp;INDEX($C:$C,328))))</f>
        <v/>
      </c>
      <c r="AQ328" s="43" t="str">
        <f aca="false">IF(OR(AI328="",INDEX($I:$I,328)="Yes"),"",1)</f>
        <v/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customFormat="false" ht="21.75" hidden="false" customHeight="true" outlineLevel="0" collapsed="false">
      <c r="A329" s="1"/>
      <c r="B329" s="113" t="str">
        <f aca="false">IF(AI329="","",COUNT($AI$7:AI329))</f>
        <v/>
      </c>
      <c r="C329" s="114"/>
      <c r="D329" s="114"/>
      <c r="E329" s="114"/>
      <c r="F329" s="114"/>
      <c r="G329" s="115"/>
      <c r="H329" s="115"/>
      <c r="I329" s="115"/>
      <c r="J329" s="115"/>
      <c r="K329" s="115"/>
      <c r="L329" s="114"/>
      <c r="M329" s="114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4"/>
      <c r="Y329" s="114"/>
      <c r="Z329" s="115"/>
      <c r="AA329" s="114"/>
      <c r="AB329" s="114"/>
      <c r="AC329" s="115"/>
      <c r="AD329" s="116"/>
      <c r="AE329" s="114"/>
      <c r="AF329" s="114"/>
      <c r="AG329" s="114"/>
      <c r="AH329" s="1"/>
      <c r="AI329" s="95" t="str">
        <f aca="false">IF(INDEX($C:$C,329)&amp;INDEX($D:$D,329)="","",1)</f>
        <v/>
      </c>
      <c r="AJ329" s="95" t="str">
        <f aca="false">IF(OR(AI329="",INDEX($Z:$Z,329)="",INDEX($U:$U,329)="Declined"),"",1)</f>
        <v/>
      </c>
      <c r="AK329" s="95" t="str">
        <f aca="false">IF(AJ329="","",INDEX($Z:$Z,329)&amp;"-"&amp;COUNTIFS($Z$7:Z329,INDEX($Z:$Z,329),$AJ$7:AJ329,1))</f>
        <v/>
      </c>
      <c r="AL329" s="43" t="str">
        <f aca="false">IF(AI329="","",TRIM(INDEX($D:$D,329)&amp;" "&amp;INDEX($C:$C,329))&amp;IF(INDEX($I:$I,329)="Yes"," (child)",""))</f>
        <v/>
      </c>
      <c r="AM329" s="95" t="str">
        <f aca="false">IF(OR(AI329="",INDEX($X:$X,329)="",INDEX($U:$U,329)="Declined"),"",COUNTIFS($X$7:X329,"?*",$U$7:U329,"&lt;&gt;Declined",$AI$7:AI329,1))</f>
        <v/>
      </c>
      <c r="AN329" s="95" t="str">
        <f aca="false">IF(AI329="","",IF(INDEX($L:$L,329)="",1,IF(COUNTIF($L$7:L329,INDEX($L:$L,329))=1,1,"")))</f>
        <v/>
      </c>
      <c r="AO329" s="95" t="str">
        <f aca="false">IF(AN329&lt;&gt;1,"",IF(INDEX($L:$L,329)="",IF(INDEX($S:$S,329)="Yes",1,""),IF(COUNTIFS($L$7:$L$506,INDEX($L:$L,329),$S$7:$S$506,"Yes")&gt;0,1,"")))</f>
        <v/>
      </c>
      <c r="AP329" s="95" t="str">
        <f aca="false">IF(AN329&lt;&gt;1,"",IF(INDEX($L:$L,329)&lt;&gt;"",INDEX($L:$L,329),TRIM(INDEX($D:$D,329)&amp;" "&amp;INDEX($C:$C,329))))</f>
        <v/>
      </c>
      <c r="AQ329" s="43" t="str">
        <f aca="false">IF(OR(AI329="",INDEX($I:$I,329)="Yes"),"",1)</f>
        <v/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customFormat="false" ht="21.75" hidden="false" customHeight="true" outlineLevel="0" collapsed="false">
      <c r="A330" s="1"/>
      <c r="B330" s="113" t="str">
        <f aca="false">IF(AI330="","",COUNT($AI$7:AI330))</f>
        <v/>
      </c>
      <c r="C330" s="114"/>
      <c r="D330" s="114"/>
      <c r="E330" s="114"/>
      <c r="F330" s="114"/>
      <c r="G330" s="115"/>
      <c r="H330" s="115"/>
      <c r="I330" s="115"/>
      <c r="J330" s="115"/>
      <c r="K330" s="115"/>
      <c r="L330" s="114"/>
      <c r="M330" s="114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4"/>
      <c r="Y330" s="114"/>
      <c r="Z330" s="115"/>
      <c r="AA330" s="114"/>
      <c r="AB330" s="114"/>
      <c r="AC330" s="115"/>
      <c r="AD330" s="116"/>
      <c r="AE330" s="114"/>
      <c r="AF330" s="114"/>
      <c r="AG330" s="114"/>
      <c r="AH330" s="1"/>
      <c r="AI330" s="95" t="str">
        <f aca="false">IF(INDEX($C:$C,330)&amp;INDEX($D:$D,330)="","",1)</f>
        <v/>
      </c>
      <c r="AJ330" s="95" t="str">
        <f aca="false">IF(OR(AI330="",INDEX($Z:$Z,330)="",INDEX($U:$U,330)="Declined"),"",1)</f>
        <v/>
      </c>
      <c r="AK330" s="95" t="str">
        <f aca="false">IF(AJ330="","",INDEX($Z:$Z,330)&amp;"-"&amp;COUNTIFS($Z$7:Z330,INDEX($Z:$Z,330),$AJ$7:AJ330,1))</f>
        <v/>
      </c>
      <c r="AL330" s="43" t="str">
        <f aca="false">IF(AI330="","",TRIM(INDEX($D:$D,330)&amp;" "&amp;INDEX($C:$C,330))&amp;IF(INDEX($I:$I,330)="Yes"," (child)",""))</f>
        <v/>
      </c>
      <c r="AM330" s="95" t="str">
        <f aca="false">IF(OR(AI330="",INDEX($X:$X,330)="",INDEX($U:$U,330)="Declined"),"",COUNTIFS($X$7:X330,"?*",$U$7:U330,"&lt;&gt;Declined",$AI$7:AI330,1))</f>
        <v/>
      </c>
      <c r="AN330" s="95" t="str">
        <f aca="false">IF(AI330="","",IF(INDEX($L:$L,330)="",1,IF(COUNTIF($L$7:L330,INDEX($L:$L,330))=1,1,"")))</f>
        <v/>
      </c>
      <c r="AO330" s="95" t="str">
        <f aca="false">IF(AN330&lt;&gt;1,"",IF(INDEX($L:$L,330)="",IF(INDEX($S:$S,330)="Yes",1,""),IF(COUNTIFS($L$7:$L$506,INDEX($L:$L,330),$S$7:$S$506,"Yes")&gt;0,1,"")))</f>
        <v/>
      </c>
      <c r="AP330" s="95" t="str">
        <f aca="false">IF(AN330&lt;&gt;1,"",IF(INDEX($L:$L,330)&lt;&gt;"",INDEX($L:$L,330),TRIM(INDEX($D:$D,330)&amp;" "&amp;INDEX($C:$C,330))))</f>
        <v/>
      </c>
      <c r="AQ330" s="43" t="str">
        <f aca="false">IF(OR(AI330="",INDEX($I:$I,330)="Yes"),"",1)</f>
        <v/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customFormat="false" ht="21.75" hidden="false" customHeight="true" outlineLevel="0" collapsed="false">
      <c r="A331" s="1"/>
      <c r="B331" s="113" t="str">
        <f aca="false">IF(AI331="","",COUNT($AI$7:AI331))</f>
        <v/>
      </c>
      <c r="C331" s="114"/>
      <c r="D331" s="114"/>
      <c r="E331" s="114"/>
      <c r="F331" s="114"/>
      <c r="G331" s="115"/>
      <c r="H331" s="115"/>
      <c r="I331" s="115"/>
      <c r="J331" s="115"/>
      <c r="K331" s="115"/>
      <c r="L331" s="114"/>
      <c r="M331" s="114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4"/>
      <c r="Y331" s="114"/>
      <c r="Z331" s="115"/>
      <c r="AA331" s="114"/>
      <c r="AB331" s="114"/>
      <c r="AC331" s="115"/>
      <c r="AD331" s="116"/>
      <c r="AE331" s="114"/>
      <c r="AF331" s="114"/>
      <c r="AG331" s="114"/>
      <c r="AH331" s="1"/>
      <c r="AI331" s="95" t="str">
        <f aca="false">IF(INDEX($C:$C,331)&amp;INDEX($D:$D,331)="","",1)</f>
        <v/>
      </c>
      <c r="AJ331" s="95" t="str">
        <f aca="false">IF(OR(AI331="",INDEX($Z:$Z,331)="",INDEX($U:$U,331)="Declined"),"",1)</f>
        <v/>
      </c>
      <c r="AK331" s="95" t="str">
        <f aca="false">IF(AJ331="","",INDEX($Z:$Z,331)&amp;"-"&amp;COUNTIFS($Z$7:Z331,INDEX($Z:$Z,331),$AJ$7:AJ331,1))</f>
        <v/>
      </c>
      <c r="AL331" s="43" t="str">
        <f aca="false">IF(AI331="","",TRIM(INDEX($D:$D,331)&amp;" "&amp;INDEX($C:$C,331))&amp;IF(INDEX($I:$I,331)="Yes"," (child)",""))</f>
        <v/>
      </c>
      <c r="AM331" s="95" t="str">
        <f aca="false">IF(OR(AI331="",INDEX($X:$X,331)="",INDEX($U:$U,331)="Declined"),"",COUNTIFS($X$7:X331,"?*",$U$7:U331,"&lt;&gt;Declined",$AI$7:AI331,1))</f>
        <v/>
      </c>
      <c r="AN331" s="95" t="str">
        <f aca="false">IF(AI331="","",IF(INDEX($L:$L,331)="",1,IF(COUNTIF($L$7:L331,INDEX($L:$L,331))=1,1,"")))</f>
        <v/>
      </c>
      <c r="AO331" s="95" t="str">
        <f aca="false">IF(AN331&lt;&gt;1,"",IF(INDEX($L:$L,331)="",IF(INDEX($S:$S,331)="Yes",1,""),IF(COUNTIFS($L$7:$L$506,INDEX($L:$L,331),$S$7:$S$506,"Yes")&gt;0,1,"")))</f>
        <v/>
      </c>
      <c r="AP331" s="95" t="str">
        <f aca="false">IF(AN331&lt;&gt;1,"",IF(INDEX($L:$L,331)&lt;&gt;"",INDEX($L:$L,331),TRIM(INDEX($D:$D,331)&amp;" "&amp;INDEX($C:$C,331))))</f>
        <v/>
      </c>
      <c r="AQ331" s="43" t="str">
        <f aca="false">IF(OR(AI331="",INDEX($I:$I,331)="Yes"),"",1)</f>
        <v/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customFormat="false" ht="21.75" hidden="false" customHeight="true" outlineLevel="0" collapsed="false">
      <c r="A332" s="1"/>
      <c r="B332" s="113" t="str">
        <f aca="false">IF(AI332="","",COUNT($AI$7:AI332))</f>
        <v/>
      </c>
      <c r="C332" s="114"/>
      <c r="D332" s="114"/>
      <c r="E332" s="114"/>
      <c r="F332" s="114"/>
      <c r="G332" s="115"/>
      <c r="H332" s="115"/>
      <c r="I332" s="115"/>
      <c r="J332" s="115"/>
      <c r="K332" s="115"/>
      <c r="L332" s="114"/>
      <c r="M332" s="114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4"/>
      <c r="Y332" s="114"/>
      <c r="Z332" s="115"/>
      <c r="AA332" s="114"/>
      <c r="AB332" s="114"/>
      <c r="AC332" s="115"/>
      <c r="AD332" s="116"/>
      <c r="AE332" s="114"/>
      <c r="AF332" s="114"/>
      <c r="AG332" s="114"/>
      <c r="AH332" s="1"/>
      <c r="AI332" s="95" t="str">
        <f aca="false">IF(INDEX($C:$C,332)&amp;INDEX($D:$D,332)="","",1)</f>
        <v/>
      </c>
      <c r="AJ332" s="95" t="str">
        <f aca="false">IF(OR(AI332="",INDEX($Z:$Z,332)="",INDEX($U:$U,332)="Declined"),"",1)</f>
        <v/>
      </c>
      <c r="AK332" s="95" t="str">
        <f aca="false">IF(AJ332="","",INDEX($Z:$Z,332)&amp;"-"&amp;COUNTIFS($Z$7:Z332,INDEX($Z:$Z,332),$AJ$7:AJ332,1))</f>
        <v/>
      </c>
      <c r="AL332" s="43" t="str">
        <f aca="false">IF(AI332="","",TRIM(INDEX($D:$D,332)&amp;" "&amp;INDEX($C:$C,332))&amp;IF(INDEX($I:$I,332)="Yes"," (child)",""))</f>
        <v/>
      </c>
      <c r="AM332" s="95" t="str">
        <f aca="false">IF(OR(AI332="",INDEX($X:$X,332)="",INDEX($U:$U,332)="Declined"),"",COUNTIFS($X$7:X332,"?*",$U$7:U332,"&lt;&gt;Declined",$AI$7:AI332,1))</f>
        <v/>
      </c>
      <c r="AN332" s="95" t="str">
        <f aca="false">IF(AI332="","",IF(INDEX($L:$L,332)="",1,IF(COUNTIF($L$7:L332,INDEX($L:$L,332))=1,1,"")))</f>
        <v/>
      </c>
      <c r="AO332" s="95" t="str">
        <f aca="false">IF(AN332&lt;&gt;1,"",IF(INDEX($L:$L,332)="",IF(INDEX($S:$S,332)="Yes",1,""),IF(COUNTIFS($L$7:$L$506,INDEX($L:$L,332),$S$7:$S$506,"Yes")&gt;0,1,"")))</f>
        <v/>
      </c>
      <c r="AP332" s="95" t="str">
        <f aca="false">IF(AN332&lt;&gt;1,"",IF(INDEX($L:$L,332)&lt;&gt;"",INDEX($L:$L,332),TRIM(INDEX($D:$D,332)&amp;" "&amp;INDEX($C:$C,332))))</f>
        <v/>
      </c>
      <c r="AQ332" s="43" t="str">
        <f aca="false">IF(OR(AI332="",INDEX($I:$I,332)="Yes"),"",1)</f>
        <v/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customFormat="false" ht="21.75" hidden="false" customHeight="true" outlineLevel="0" collapsed="false">
      <c r="A333" s="1"/>
      <c r="B333" s="113" t="str">
        <f aca="false">IF(AI333="","",COUNT($AI$7:AI333))</f>
        <v/>
      </c>
      <c r="C333" s="114"/>
      <c r="D333" s="114"/>
      <c r="E333" s="114"/>
      <c r="F333" s="114"/>
      <c r="G333" s="115"/>
      <c r="H333" s="115"/>
      <c r="I333" s="115"/>
      <c r="J333" s="115"/>
      <c r="K333" s="115"/>
      <c r="L333" s="114"/>
      <c r="M333" s="114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4"/>
      <c r="Y333" s="114"/>
      <c r="Z333" s="115"/>
      <c r="AA333" s="114"/>
      <c r="AB333" s="114"/>
      <c r="AC333" s="115"/>
      <c r="AD333" s="116"/>
      <c r="AE333" s="114"/>
      <c r="AF333" s="114"/>
      <c r="AG333" s="114"/>
      <c r="AH333" s="1"/>
      <c r="AI333" s="95" t="str">
        <f aca="false">IF(INDEX($C:$C,333)&amp;INDEX($D:$D,333)="","",1)</f>
        <v/>
      </c>
      <c r="AJ333" s="95" t="str">
        <f aca="false">IF(OR(AI333="",INDEX($Z:$Z,333)="",INDEX($U:$U,333)="Declined"),"",1)</f>
        <v/>
      </c>
      <c r="AK333" s="95" t="str">
        <f aca="false">IF(AJ333="","",INDEX($Z:$Z,333)&amp;"-"&amp;COUNTIFS($Z$7:Z333,INDEX($Z:$Z,333),$AJ$7:AJ333,1))</f>
        <v/>
      </c>
      <c r="AL333" s="43" t="str">
        <f aca="false">IF(AI333="","",TRIM(INDEX($D:$D,333)&amp;" "&amp;INDEX($C:$C,333))&amp;IF(INDEX($I:$I,333)="Yes"," (child)",""))</f>
        <v/>
      </c>
      <c r="AM333" s="95" t="str">
        <f aca="false">IF(OR(AI333="",INDEX($X:$X,333)="",INDEX($U:$U,333)="Declined"),"",COUNTIFS($X$7:X333,"?*",$U$7:U333,"&lt;&gt;Declined",$AI$7:AI333,1))</f>
        <v/>
      </c>
      <c r="AN333" s="95" t="str">
        <f aca="false">IF(AI333="","",IF(INDEX($L:$L,333)="",1,IF(COUNTIF($L$7:L333,INDEX($L:$L,333))=1,1,"")))</f>
        <v/>
      </c>
      <c r="AO333" s="95" t="str">
        <f aca="false">IF(AN333&lt;&gt;1,"",IF(INDEX($L:$L,333)="",IF(INDEX($S:$S,333)="Yes",1,""),IF(COUNTIFS($L$7:$L$506,INDEX($L:$L,333),$S$7:$S$506,"Yes")&gt;0,1,"")))</f>
        <v/>
      </c>
      <c r="AP333" s="95" t="str">
        <f aca="false">IF(AN333&lt;&gt;1,"",IF(INDEX($L:$L,333)&lt;&gt;"",INDEX($L:$L,333),TRIM(INDEX($D:$D,333)&amp;" "&amp;INDEX($C:$C,333))))</f>
        <v/>
      </c>
      <c r="AQ333" s="43" t="str">
        <f aca="false">IF(OR(AI333="",INDEX($I:$I,333)="Yes"),"",1)</f>
        <v/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customFormat="false" ht="21.75" hidden="false" customHeight="true" outlineLevel="0" collapsed="false">
      <c r="A334" s="1"/>
      <c r="B334" s="113" t="str">
        <f aca="false">IF(AI334="","",COUNT($AI$7:AI334))</f>
        <v/>
      </c>
      <c r="C334" s="114"/>
      <c r="D334" s="114"/>
      <c r="E334" s="114"/>
      <c r="F334" s="114"/>
      <c r="G334" s="115"/>
      <c r="H334" s="115"/>
      <c r="I334" s="115"/>
      <c r="J334" s="115"/>
      <c r="K334" s="115"/>
      <c r="L334" s="114"/>
      <c r="M334" s="114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4"/>
      <c r="Y334" s="114"/>
      <c r="Z334" s="115"/>
      <c r="AA334" s="114"/>
      <c r="AB334" s="114"/>
      <c r="AC334" s="115"/>
      <c r="AD334" s="116"/>
      <c r="AE334" s="114"/>
      <c r="AF334" s="114"/>
      <c r="AG334" s="114"/>
      <c r="AH334" s="1"/>
      <c r="AI334" s="95" t="str">
        <f aca="false">IF(INDEX($C:$C,334)&amp;INDEX($D:$D,334)="","",1)</f>
        <v/>
      </c>
      <c r="AJ334" s="95" t="str">
        <f aca="false">IF(OR(AI334="",INDEX($Z:$Z,334)="",INDEX($U:$U,334)="Declined"),"",1)</f>
        <v/>
      </c>
      <c r="AK334" s="95" t="str">
        <f aca="false">IF(AJ334="","",INDEX($Z:$Z,334)&amp;"-"&amp;COUNTIFS($Z$7:Z334,INDEX($Z:$Z,334),$AJ$7:AJ334,1))</f>
        <v/>
      </c>
      <c r="AL334" s="43" t="str">
        <f aca="false">IF(AI334="","",TRIM(INDEX($D:$D,334)&amp;" "&amp;INDEX($C:$C,334))&amp;IF(INDEX($I:$I,334)="Yes"," (child)",""))</f>
        <v/>
      </c>
      <c r="AM334" s="95" t="str">
        <f aca="false">IF(OR(AI334="",INDEX($X:$X,334)="",INDEX($U:$U,334)="Declined"),"",COUNTIFS($X$7:X334,"?*",$U$7:U334,"&lt;&gt;Declined",$AI$7:AI334,1))</f>
        <v/>
      </c>
      <c r="AN334" s="95" t="str">
        <f aca="false">IF(AI334="","",IF(INDEX($L:$L,334)="",1,IF(COUNTIF($L$7:L334,INDEX($L:$L,334))=1,1,"")))</f>
        <v/>
      </c>
      <c r="AO334" s="95" t="str">
        <f aca="false">IF(AN334&lt;&gt;1,"",IF(INDEX($L:$L,334)="",IF(INDEX($S:$S,334)="Yes",1,""),IF(COUNTIFS($L$7:$L$506,INDEX($L:$L,334),$S$7:$S$506,"Yes")&gt;0,1,"")))</f>
        <v/>
      </c>
      <c r="AP334" s="95" t="str">
        <f aca="false">IF(AN334&lt;&gt;1,"",IF(INDEX($L:$L,334)&lt;&gt;"",INDEX($L:$L,334),TRIM(INDEX($D:$D,334)&amp;" "&amp;INDEX($C:$C,334))))</f>
        <v/>
      </c>
      <c r="AQ334" s="43" t="str">
        <f aca="false">IF(OR(AI334="",INDEX($I:$I,334)="Yes"),"",1)</f>
        <v/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customFormat="false" ht="21.75" hidden="false" customHeight="true" outlineLevel="0" collapsed="false">
      <c r="A335" s="1"/>
      <c r="B335" s="113" t="str">
        <f aca="false">IF(AI335="","",COUNT($AI$7:AI335))</f>
        <v/>
      </c>
      <c r="C335" s="114"/>
      <c r="D335" s="114"/>
      <c r="E335" s="114"/>
      <c r="F335" s="114"/>
      <c r="G335" s="115"/>
      <c r="H335" s="115"/>
      <c r="I335" s="115"/>
      <c r="J335" s="115"/>
      <c r="K335" s="115"/>
      <c r="L335" s="114"/>
      <c r="M335" s="114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4"/>
      <c r="Y335" s="114"/>
      <c r="Z335" s="115"/>
      <c r="AA335" s="114"/>
      <c r="AB335" s="114"/>
      <c r="AC335" s="115"/>
      <c r="AD335" s="116"/>
      <c r="AE335" s="114"/>
      <c r="AF335" s="114"/>
      <c r="AG335" s="114"/>
      <c r="AH335" s="1"/>
      <c r="AI335" s="95" t="str">
        <f aca="false">IF(INDEX($C:$C,335)&amp;INDEX($D:$D,335)="","",1)</f>
        <v/>
      </c>
      <c r="AJ335" s="95" t="str">
        <f aca="false">IF(OR(AI335="",INDEX($Z:$Z,335)="",INDEX($U:$U,335)="Declined"),"",1)</f>
        <v/>
      </c>
      <c r="AK335" s="95" t="str">
        <f aca="false">IF(AJ335="","",INDEX($Z:$Z,335)&amp;"-"&amp;COUNTIFS($Z$7:Z335,INDEX($Z:$Z,335),$AJ$7:AJ335,1))</f>
        <v/>
      </c>
      <c r="AL335" s="43" t="str">
        <f aca="false">IF(AI335="","",TRIM(INDEX($D:$D,335)&amp;" "&amp;INDEX($C:$C,335))&amp;IF(INDEX($I:$I,335)="Yes"," (child)",""))</f>
        <v/>
      </c>
      <c r="AM335" s="95" t="str">
        <f aca="false">IF(OR(AI335="",INDEX($X:$X,335)="",INDEX($U:$U,335)="Declined"),"",COUNTIFS($X$7:X335,"?*",$U$7:U335,"&lt;&gt;Declined",$AI$7:AI335,1))</f>
        <v/>
      </c>
      <c r="AN335" s="95" t="str">
        <f aca="false">IF(AI335="","",IF(INDEX($L:$L,335)="",1,IF(COUNTIF($L$7:L335,INDEX($L:$L,335))=1,1,"")))</f>
        <v/>
      </c>
      <c r="AO335" s="95" t="str">
        <f aca="false">IF(AN335&lt;&gt;1,"",IF(INDEX($L:$L,335)="",IF(INDEX($S:$S,335)="Yes",1,""),IF(COUNTIFS($L$7:$L$506,INDEX($L:$L,335),$S$7:$S$506,"Yes")&gt;0,1,"")))</f>
        <v/>
      </c>
      <c r="AP335" s="95" t="str">
        <f aca="false">IF(AN335&lt;&gt;1,"",IF(INDEX($L:$L,335)&lt;&gt;"",INDEX($L:$L,335),TRIM(INDEX($D:$D,335)&amp;" "&amp;INDEX($C:$C,335))))</f>
        <v/>
      </c>
      <c r="AQ335" s="43" t="str">
        <f aca="false">IF(OR(AI335="",INDEX($I:$I,335)="Yes"),"",1)</f>
        <v/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customFormat="false" ht="21.75" hidden="false" customHeight="true" outlineLevel="0" collapsed="false">
      <c r="A336" s="1"/>
      <c r="B336" s="113" t="str">
        <f aca="false">IF(AI336="","",COUNT($AI$7:AI336))</f>
        <v/>
      </c>
      <c r="C336" s="114"/>
      <c r="D336" s="114"/>
      <c r="E336" s="114"/>
      <c r="F336" s="114"/>
      <c r="G336" s="115"/>
      <c r="H336" s="115"/>
      <c r="I336" s="115"/>
      <c r="J336" s="115"/>
      <c r="K336" s="115"/>
      <c r="L336" s="114"/>
      <c r="M336" s="114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4"/>
      <c r="Y336" s="114"/>
      <c r="Z336" s="115"/>
      <c r="AA336" s="114"/>
      <c r="AB336" s="114"/>
      <c r="AC336" s="115"/>
      <c r="AD336" s="116"/>
      <c r="AE336" s="114"/>
      <c r="AF336" s="114"/>
      <c r="AG336" s="114"/>
      <c r="AH336" s="1"/>
      <c r="AI336" s="95" t="str">
        <f aca="false">IF(INDEX($C:$C,336)&amp;INDEX($D:$D,336)="","",1)</f>
        <v/>
      </c>
      <c r="AJ336" s="95" t="str">
        <f aca="false">IF(OR(AI336="",INDEX($Z:$Z,336)="",INDEX($U:$U,336)="Declined"),"",1)</f>
        <v/>
      </c>
      <c r="AK336" s="95" t="str">
        <f aca="false">IF(AJ336="","",INDEX($Z:$Z,336)&amp;"-"&amp;COUNTIFS($Z$7:Z336,INDEX($Z:$Z,336),$AJ$7:AJ336,1))</f>
        <v/>
      </c>
      <c r="AL336" s="43" t="str">
        <f aca="false">IF(AI336="","",TRIM(INDEX($D:$D,336)&amp;" "&amp;INDEX($C:$C,336))&amp;IF(INDEX($I:$I,336)="Yes"," (child)",""))</f>
        <v/>
      </c>
      <c r="AM336" s="95" t="str">
        <f aca="false">IF(OR(AI336="",INDEX($X:$X,336)="",INDEX($U:$U,336)="Declined"),"",COUNTIFS($X$7:X336,"?*",$U$7:U336,"&lt;&gt;Declined",$AI$7:AI336,1))</f>
        <v/>
      </c>
      <c r="AN336" s="95" t="str">
        <f aca="false">IF(AI336="","",IF(INDEX($L:$L,336)="",1,IF(COUNTIF($L$7:L336,INDEX($L:$L,336))=1,1,"")))</f>
        <v/>
      </c>
      <c r="AO336" s="95" t="str">
        <f aca="false">IF(AN336&lt;&gt;1,"",IF(INDEX($L:$L,336)="",IF(INDEX($S:$S,336)="Yes",1,""),IF(COUNTIFS($L$7:$L$506,INDEX($L:$L,336),$S$7:$S$506,"Yes")&gt;0,1,"")))</f>
        <v/>
      </c>
      <c r="AP336" s="95" t="str">
        <f aca="false">IF(AN336&lt;&gt;1,"",IF(INDEX($L:$L,336)&lt;&gt;"",INDEX($L:$L,336),TRIM(INDEX($D:$D,336)&amp;" "&amp;INDEX($C:$C,336))))</f>
        <v/>
      </c>
      <c r="AQ336" s="43" t="str">
        <f aca="false">IF(OR(AI336="",INDEX($I:$I,336)="Yes"),"",1)</f>
        <v/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customFormat="false" ht="21.75" hidden="false" customHeight="true" outlineLevel="0" collapsed="false">
      <c r="A337" s="1"/>
      <c r="B337" s="113" t="str">
        <f aca="false">IF(AI337="","",COUNT($AI$7:AI337))</f>
        <v/>
      </c>
      <c r="C337" s="114"/>
      <c r="D337" s="114"/>
      <c r="E337" s="114"/>
      <c r="F337" s="114"/>
      <c r="G337" s="115"/>
      <c r="H337" s="115"/>
      <c r="I337" s="115"/>
      <c r="J337" s="115"/>
      <c r="K337" s="115"/>
      <c r="L337" s="114"/>
      <c r="M337" s="114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4"/>
      <c r="Y337" s="114"/>
      <c r="Z337" s="115"/>
      <c r="AA337" s="114"/>
      <c r="AB337" s="114"/>
      <c r="AC337" s="115"/>
      <c r="AD337" s="116"/>
      <c r="AE337" s="114"/>
      <c r="AF337" s="114"/>
      <c r="AG337" s="114"/>
      <c r="AH337" s="1"/>
      <c r="AI337" s="95" t="str">
        <f aca="false">IF(INDEX($C:$C,337)&amp;INDEX($D:$D,337)="","",1)</f>
        <v/>
      </c>
      <c r="AJ337" s="95" t="str">
        <f aca="false">IF(OR(AI337="",INDEX($Z:$Z,337)="",INDEX($U:$U,337)="Declined"),"",1)</f>
        <v/>
      </c>
      <c r="AK337" s="95" t="str">
        <f aca="false">IF(AJ337="","",INDEX($Z:$Z,337)&amp;"-"&amp;COUNTIFS($Z$7:Z337,INDEX($Z:$Z,337),$AJ$7:AJ337,1))</f>
        <v/>
      </c>
      <c r="AL337" s="43" t="str">
        <f aca="false">IF(AI337="","",TRIM(INDEX($D:$D,337)&amp;" "&amp;INDEX($C:$C,337))&amp;IF(INDEX($I:$I,337)="Yes"," (child)",""))</f>
        <v/>
      </c>
      <c r="AM337" s="95" t="str">
        <f aca="false">IF(OR(AI337="",INDEX($X:$X,337)="",INDEX($U:$U,337)="Declined"),"",COUNTIFS($X$7:X337,"?*",$U$7:U337,"&lt;&gt;Declined",$AI$7:AI337,1))</f>
        <v/>
      </c>
      <c r="AN337" s="95" t="str">
        <f aca="false">IF(AI337="","",IF(INDEX($L:$L,337)="",1,IF(COUNTIF($L$7:L337,INDEX($L:$L,337))=1,1,"")))</f>
        <v/>
      </c>
      <c r="AO337" s="95" t="str">
        <f aca="false">IF(AN337&lt;&gt;1,"",IF(INDEX($L:$L,337)="",IF(INDEX($S:$S,337)="Yes",1,""),IF(COUNTIFS($L$7:$L$506,INDEX($L:$L,337),$S$7:$S$506,"Yes")&gt;0,1,"")))</f>
        <v/>
      </c>
      <c r="AP337" s="95" t="str">
        <f aca="false">IF(AN337&lt;&gt;1,"",IF(INDEX($L:$L,337)&lt;&gt;"",INDEX($L:$L,337),TRIM(INDEX($D:$D,337)&amp;" "&amp;INDEX($C:$C,337))))</f>
        <v/>
      </c>
      <c r="AQ337" s="43" t="str">
        <f aca="false">IF(OR(AI337="",INDEX($I:$I,337)="Yes"),"",1)</f>
        <v/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customFormat="false" ht="21.75" hidden="false" customHeight="true" outlineLevel="0" collapsed="false">
      <c r="A338" s="1"/>
      <c r="B338" s="113" t="str">
        <f aca="false">IF(AI338="","",COUNT($AI$7:AI338))</f>
        <v/>
      </c>
      <c r="C338" s="114"/>
      <c r="D338" s="114"/>
      <c r="E338" s="114"/>
      <c r="F338" s="114"/>
      <c r="G338" s="115"/>
      <c r="H338" s="115"/>
      <c r="I338" s="115"/>
      <c r="J338" s="115"/>
      <c r="K338" s="115"/>
      <c r="L338" s="114"/>
      <c r="M338" s="114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4"/>
      <c r="Y338" s="114"/>
      <c r="Z338" s="115"/>
      <c r="AA338" s="114"/>
      <c r="AB338" s="114"/>
      <c r="AC338" s="115"/>
      <c r="AD338" s="116"/>
      <c r="AE338" s="114"/>
      <c r="AF338" s="114"/>
      <c r="AG338" s="114"/>
      <c r="AH338" s="1"/>
      <c r="AI338" s="95" t="str">
        <f aca="false">IF(INDEX($C:$C,338)&amp;INDEX($D:$D,338)="","",1)</f>
        <v/>
      </c>
      <c r="AJ338" s="95" t="str">
        <f aca="false">IF(OR(AI338="",INDEX($Z:$Z,338)="",INDEX($U:$U,338)="Declined"),"",1)</f>
        <v/>
      </c>
      <c r="AK338" s="95" t="str">
        <f aca="false">IF(AJ338="","",INDEX($Z:$Z,338)&amp;"-"&amp;COUNTIFS($Z$7:Z338,INDEX($Z:$Z,338),$AJ$7:AJ338,1))</f>
        <v/>
      </c>
      <c r="AL338" s="43" t="str">
        <f aca="false">IF(AI338="","",TRIM(INDEX($D:$D,338)&amp;" "&amp;INDEX($C:$C,338))&amp;IF(INDEX($I:$I,338)="Yes"," (child)",""))</f>
        <v/>
      </c>
      <c r="AM338" s="95" t="str">
        <f aca="false">IF(OR(AI338="",INDEX($X:$X,338)="",INDEX($U:$U,338)="Declined"),"",COUNTIFS($X$7:X338,"?*",$U$7:U338,"&lt;&gt;Declined",$AI$7:AI338,1))</f>
        <v/>
      </c>
      <c r="AN338" s="95" t="str">
        <f aca="false">IF(AI338="","",IF(INDEX($L:$L,338)="",1,IF(COUNTIF($L$7:L338,INDEX($L:$L,338))=1,1,"")))</f>
        <v/>
      </c>
      <c r="AO338" s="95" t="str">
        <f aca="false">IF(AN338&lt;&gt;1,"",IF(INDEX($L:$L,338)="",IF(INDEX($S:$S,338)="Yes",1,""),IF(COUNTIFS($L$7:$L$506,INDEX($L:$L,338),$S$7:$S$506,"Yes")&gt;0,1,"")))</f>
        <v/>
      </c>
      <c r="AP338" s="95" t="str">
        <f aca="false">IF(AN338&lt;&gt;1,"",IF(INDEX($L:$L,338)&lt;&gt;"",INDEX($L:$L,338),TRIM(INDEX($D:$D,338)&amp;" "&amp;INDEX($C:$C,338))))</f>
        <v/>
      </c>
      <c r="AQ338" s="43" t="str">
        <f aca="false">IF(OR(AI338="",INDEX($I:$I,338)="Yes"),"",1)</f>
        <v/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customFormat="false" ht="21.75" hidden="false" customHeight="true" outlineLevel="0" collapsed="false">
      <c r="A339" s="1"/>
      <c r="B339" s="113" t="str">
        <f aca="false">IF(AI339="","",COUNT($AI$7:AI339))</f>
        <v/>
      </c>
      <c r="C339" s="114"/>
      <c r="D339" s="114"/>
      <c r="E339" s="114"/>
      <c r="F339" s="114"/>
      <c r="G339" s="115"/>
      <c r="H339" s="115"/>
      <c r="I339" s="115"/>
      <c r="J339" s="115"/>
      <c r="K339" s="115"/>
      <c r="L339" s="114"/>
      <c r="M339" s="114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4"/>
      <c r="Y339" s="114"/>
      <c r="Z339" s="115"/>
      <c r="AA339" s="114"/>
      <c r="AB339" s="114"/>
      <c r="AC339" s="115"/>
      <c r="AD339" s="116"/>
      <c r="AE339" s="114"/>
      <c r="AF339" s="114"/>
      <c r="AG339" s="114"/>
      <c r="AH339" s="1"/>
      <c r="AI339" s="95" t="str">
        <f aca="false">IF(INDEX($C:$C,339)&amp;INDEX($D:$D,339)="","",1)</f>
        <v/>
      </c>
      <c r="AJ339" s="95" t="str">
        <f aca="false">IF(OR(AI339="",INDEX($Z:$Z,339)="",INDEX($U:$U,339)="Declined"),"",1)</f>
        <v/>
      </c>
      <c r="AK339" s="95" t="str">
        <f aca="false">IF(AJ339="","",INDEX($Z:$Z,339)&amp;"-"&amp;COUNTIFS($Z$7:Z339,INDEX($Z:$Z,339),$AJ$7:AJ339,1))</f>
        <v/>
      </c>
      <c r="AL339" s="43" t="str">
        <f aca="false">IF(AI339="","",TRIM(INDEX($D:$D,339)&amp;" "&amp;INDEX($C:$C,339))&amp;IF(INDEX($I:$I,339)="Yes"," (child)",""))</f>
        <v/>
      </c>
      <c r="AM339" s="95" t="str">
        <f aca="false">IF(OR(AI339="",INDEX($X:$X,339)="",INDEX($U:$U,339)="Declined"),"",COUNTIFS($X$7:X339,"?*",$U$7:U339,"&lt;&gt;Declined",$AI$7:AI339,1))</f>
        <v/>
      </c>
      <c r="AN339" s="95" t="str">
        <f aca="false">IF(AI339="","",IF(INDEX($L:$L,339)="",1,IF(COUNTIF($L$7:L339,INDEX($L:$L,339))=1,1,"")))</f>
        <v/>
      </c>
      <c r="AO339" s="95" t="str">
        <f aca="false">IF(AN339&lt;&gt;1,"",IF(INDEX($L:$L,339)="",IF(INDEX($S:$S,339)="Yes",1,""),IF(COUNTIFS($L$7:$L$506,INDEX($L:$L,339),$S$7:$S$506,"Yes")&gt;0,1,"")))</f>
        <v/>
      </c>
      <c r="AP339" s="95" t="str">
        <f aca="false">IF(AN339&lt;&gt;1,"",IF(INDEX($L:$L,339)&lt;&gt;"",INDEX($L:$L,339),TRIM(INDEX($D:$D,339)&amp;" "&amp;INDEX($C:$C,339))))</f>
        <v/>
      </c>
      <c r="AQ339" s="43" t="str">
        <f aca="false">IF(OR(AI339="",INDEX($I:$I,339)="Yes"),"",1)</f>
        <v/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customFormat="false" ht="21.75" hidden="false" customHeight="true" outlineLevel="0" collapsed="false">
      <c r="A340" s="1"/>
      <c r="B340" s="113" t="str">
        <f aca="false">IF(AI340="","",COUNT($AI$7:AI340))</f>
        <v/>
      </c>
      <c r="C340" s="114"/>
      <c r="D340" s="114"/>
      <c r="E340" s="114"/>
      <c r="F340" s="114"/>
      <c r="G340" s="115"/>
      <c r="H340" s="115"/>
      <c r="I340" s="115"/>
      <c r="J340" s="115"/>
      <c r="K340" s="115"/>
      <c r="L340" s="114"/>
      <c r="M340" s="114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4"/>
      <c r="Y340" s="114"/>
      <c r="Z340" s="115"/>
      <c r="AA340" s="114"/>
      <c r="AB340" s="114"/>
      <c r="AC340" s="115"/>
      <c r="AD340" s="116"/>
      <c r="AE340" s="114"/>
      <c r="AF340" s="114"/>
      <c r="AG340" s="114"/>
      <c r="AH340" s="1"/>
      <c r="AI340" s="95" t="str">
        <f aca="false">IF(INDEX($C:$C,340)&amp;INDEX($D:$D,340)="","",1)</f>
        <v/>
      </c>
      <c r="AJ340" s="95" t="str">
        <f aca="false">IF(OR(AI340="",INDEX($Z:$Z,340)="",INDEX($U:$U,340)="Declined"),"",1)</f>
        <v/>
      </c>
      <c r="AK340" s="95" t="str">
        <f aca="false">IF(AJ340="","",INDEX($Z:$Z,340)&amp;"-"&amp;COUNTIFS($Z$7:Z340,INDEX($Z:$Z,340),$AJ$7:AJ340,1))</f>
        <v/>
      </c>
      <c r="AL340" s="43" t="str">
        <f aca="false">IF(AI340="","",TRIM(INDEX($D:$D,340)&amp;" "&amp;INDEX($C:$C,340))&amp;IF(INDEX($I:$I,340)="Yes"," (child)",""))</f>
        <v/>
      </c>
      <c r="AM340" s="95" t="str">
        <f aca="false">IF(OR(AI340="",INDEX($X:$X,340)="",INDEX($U:$U,340)="Declined"),"",COUNTIFS($X$7:X340,"?*",$U$7:U340,"&lt;&gt;Declined",$AI$7:AI340,1))</f>
        <v/>
      </c>
      <c r="AN340" s="95" t="str">
        <f aca="false">IF(AI340="","",IF(INDEX($L:$L,340)="",1,IF(COUNTIF($L$7:L340,INDEX($L:$L,340))=1,1,"")))</f>
        <v/>
      </c>
      <c r="AO340" s="95" t="str">
        <f aca="false">IF(AN340&lt;&gt;1,"",IF(INDEX($L:$L,340)="",IF(INDEX($S:$S,340)="Yes",1,""),IF(COUNTIFS($L$7:$L$506,INDEX($L:$L,340),$S$7:$S$506,"Yes")&gt;0,1,"")))</f>
        <v/>
      </c>
      <c r="AP340" s="95" t="str">
        <f aca="false">IF(AN340&lt;&gt;1,"",IF(INDEX($L:$L,340)&lt;&gt;"",INDEX($L:$L,340),TRIM(INDEX($D:$D,340)&amp;" "&amp;INDEX($C:$C,340))))</f>
        <v/>
      </c>
      <c r="AQ340" s="43" t="str">
        <f aca="false">IF(OR(AI340="",INDEX($I:$I,340)="Yes"),"",1)</f>
        <v/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customFormat="false" ht="21.75" hidden="false" customHeight="true" outlineLevel="0" collapsed="false">
      <c r="A341" s="1"/>
      <c r="B341" s="113" t="str">
        <f aca="false">IF(AI341="","",COUNT($AI$7:AI341))</f>
        <v/>
      </c>
      <c r="C341" s="114"/>
      <c r="D341" s="114"/>
      <c r="E341" s="114"/>
      <c r="F341" s="114"/>
      <c r="G341" s="115"/>
      <c r="H341" s="115"/>
      <c r="I341" s="115"/>
      <c r="J341" s="115"/>
      <c r="K341" s="115"/>
      <c r="L341" s="114"/>
      <c r="M341" s="114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4"/>
      <c r="Y341" s="114"/>
      <c r="Z341" s="115"/>
      <c r="AA341" s="114"/>
      <c r="AB341" s="114"/>
      <c r="AC341" s="115"/>
      <c r="AD341" s="116"/>
      <c r="AE341" s="114"/>
      <c r="AF341" s="114"/>
      <c r="AG341" s="114"/>
      <c r="AH341" s="1"/>
      <c r="AI341" s="95" t="str">
        <f aca="false">IF(INDEX($C:$C,341)&amp;INDEX($D:$D,341)="","",1)</f>
        <v/>
      </c>
      <c r="AJ341" s="95" t="str">
        <f aca="false">IF(OR(AI341="",INDEX($Z:$Z,341)="",INDEX($U:$U,341)="Declined"),"",1)</f>
        <v/>
      </c>
      <c r="AK341" s="95" t="str">
        <f aca="false">IF(AJ341="","",INDEX($Z:$Z,341)&amp;"-"&amp;COUNTIFS($Z$7:Z341,INDEX($Z:$Z,341),$AJ$7:AJ341,1))</f>
        <v/>
      </c>
      <c r="AL341" s="43" t="str">
        <f aca="false">IF(AI341="","",TRIM(INDEX($D:$D,341)&amp;" "&amp;INDEX($C:$C,341))&amp;IF(INDEX($I:$I,341)="Yes"," (child)",""))</f>
        <v/>
      </c>
      <c r="AM341" s="95" t="str">
        <f aca="false">IF(OR(AI341="",INDEX($X:$X,341)="",INDEX($U:$U,341)="Declined"),"",COUNTIFS($X$7:X341,"?*",$U$7:U341,"&lt;&gt;Declined",$AI$7:AI341,1))</f>
        <v/>
      </c>
      <c r="AN341" s="95" t="str">
        <f aca="false">IF(AI341="","",IF(INDEX($L:$L,341)="",1,IF(COUNTIF($L$7:L341,INDEX($L:$L,341))=1,1,"")))</f>
        <v/>
      </c>
      <c r="AO341" s="95" t="str">
        <f aca="false">IF(AN341&lt;&gt;1,"",IF(INDEX($L:$L,341)="",IF(INDEX($S:$S,341)="Yes",1,""),IF(COUNTIFS($L$7:$L$506,INDEX($L:$L,341),$S$7:$S$506,"Yes")&gt;0,1,"")))</f>
        <v/>
      </c>
      <c r="AP341" s="95" t="str">
        <f aca="false">IF(AN341&lt;&gt;1,"",IF(INDEX($L:$L,341)&lt;&gt;"",INDEX($L:$L,341),TRIM(INDEX($D:$D,341)&amp;" "&amp;INDEX($C:$C,341))))</f>
        <v/>
      </c>
      <c r="AQ341" s="43" t="str">
        <f aca="false">IF(OR(AI341="",INDEX($I:$I,341)="Yes"),"",1)</f>
        <v/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customFormat="false" ht="21.75" hidden="false" customHeight="true" outlineLevel="0" collapsed="false">
      <c r="A342" s="1"/>
      <c r="B342" s="113" t="str">
        <f aca="false">IF(AI342="","",COUNT($AI$7:AI342))</f>
        <v/>
      </c>
      <c r="C342" s="114"/>
      <c r="D342" s="114"/>
      <c r="E342" s="114"/>
      <c r="F342" s="114"/>
      <c r="G342" s="115"/>
      <c r="H342" s="115"/>
      <c r="I342" s="115"/>
      <c r="J342" s="115"/>
      <c r="K342" s="115"/>
      <c r="L342" s="114"/>
      <c r="M342" s="114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4"/>
      <c r="Y342" s="114"/>
      <c r="Z342" s="115"/>
      <c r="AA342" s="114"/>
      <c r="AB342" s="114"/>
      <c r="AC342" s="115"/>
      <c r="AD342" s="116"/>
      <c r="AE342" s="114"/>
      <c r="AF342" s="114"/>
      <c r="AG342" s="114"/>
      <c r="AH342" s="1"/>
      <c r="AI342" s="95" t="str">
        <f aca="false">IF(INDEX($C:$C,342)&amp;INDEX($D:$D,342)="","",1)</f>
        <v/>
      </c>
      <c r="AJ342" s="95" t="str">
        <f aca="false">IF(OR(AI342="",INDEX($Z:$Z,342)="",INDEX($U:$U,342)="Declined"),"",1)</f>
        <v/>
      </c>
      <c r="AK342" s="95" t="str">
        <f aca="false">IF(AJ342="","",INDEX($Z:$Z,342)&amp;"-"&amp;COUNTIFS($Z$7:Z342,INDEX($Z:$Z,342),$AJ$7:AJ342,1))</f>
        <v/>
      </c>
      <c r="AL342" s="43" t="str">
        <f aca="false">IF(AI342="","",TRIM(INDEX($D:$D,342)&amp;" "&amp;INDEX($C:$C,342))&amp;IF(INDEX($I:$I,342)="Yes"," (child)",""))</f>
        <v/>
      </c>
      <c r="AM342" s="95" t="str">
        <f aca="false">IF(OR(AI342="",INDEX($X:$X,342)="",INDEX($U:$U,342)="Declined"),"",COUNTIFS($X$7:X342,"?*",$U$7:U342,"&lt;&gt;Declined",$AI$7:AI342,1))</f>
        <v/>
      </c>
      <c r="AN342" s="95" t="str">
        <f aca="false">IF(AI342="","",IF(INDEX($L:$L,342)="",1,IF(COUNTIF($L$7:L342,INDEX($L:$L,342))=1,1,"")))</f>
        <v/>
      </c>
      <c r="AO342" s="95" t="str">
        <f aca="false">IF(AN342&lt;&gt;1,"",IF(INDEX($L:$L,342)="",IF(INDEX($S:$S,342)="Yes",1,""),IF(COUNTIFS($L$7:$L$506,INDEX($L:$L,342),$S$7:$S$506,"Yes")&gt;0,1,"")))</f>
        <v/>
      </c>
      <c r="AP342" s="95" t="str">
        <f aca="false">IF(AN342&lt;&gt;1,"",IF(INDEX($L:$L,342)&lt;&gt;"",INDEX($L:$L,342),TRIM(INDEX($D:$D,342)&amp;" "&amp;INDEX($C:$C,342))))</f>
        <v/>
      </c>
      <c r="AQ342" s="43" t="str">
        <f aca="false">IF(OR(AI342="",INDEX($I:$I,342)="Yes"),"",1)</f>
        <v/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customFormat="false" ht="21.75" hidden="false" customHeight="true" outlineLevel="0" collapsed="false">
      <c r="A343" s="1"/>
      <c r="B343" s="113" t="str">
        <f aca="false">IF(AI343="","",COUNT($AI$7:AI343))</f>
        <v/>
      </c>
      <c r="C343" s="114"/>
      <c r="D343" s="114"/>
      <c r="E343" s="114"/>
      <c r="F343" s="114"/>
      <c r="G343" s="115"/>
      <c r="H343" s="115"/>
      <c r="I343" s="115"/>
      <c r="J343" s="115"/>
      <c r="K343" s="115"/>
      <c r="L343" s="114"/>
      <c r="M343" s="114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4"/>
      <c r="Y343" s="114"/>
      <c r="Z343" s="115"/>
      <c r="AA343" s="114"/>
      <c r="AB343" s="114"/>
      <c r="AC343" s="115"/>
      <c r="AD343" s="116"/>
      <c r="AE343" s="114"/>
      <c r="AF343" s="114"/>
      <c r="AG343" s="114"/>
      <c r="AH343" s="1"/>
      <c r="AI343" s="95" t="str">
        <f aca="false">IF(INDEX($C:$C,343)&amp;INDEX($D:$D,343)="","",1)</f>
        <v/>
      </c>
      <c r="AJ343" s="95" t="str">
        <f aca="false">IF(OR(AI343="",INDEX($Z:$Z,343)="",INDEX($U:$U,343)="Declined"),"",1)</f>
        <v/>
      </c>
      <c r="AK343" s="95" t="str">
        <f aca="false">IF(AJ343="","",INDEX($Z:$Z,343)&amp;"-"&amp;COUNTIFS($Z$7:Z343,INDEX($Z:$Z,343),$AJ$7:AJ343,1))</f>
        <v/>
      </c>
      <c r="AL343" s="43" t="str">
        <f aca="false">IF(AI343="","",TRIM(INDEX($D:$D,343)&amp;" "&amp;INDEX($C:$C,343))&amp;IF(INDEX($I:$I,343)="Yes"," (child)",""))</f>
        <v/>
      </c>
      <c r="AM343" s="95" t="str">
        <f aca="false">IF(OR(AI343="",INDEX($X:$X,343)="",INDEX($U:$U,343)="Declined"),"",COUNTIFS($X$7:X343,"?*",$U$7:U343,"&lt;&gt;Declined",$AI$7:AI343,1))</f>
        <v/>
      </c>
      <c r="AN343" s="95" t="str">
        <f aca="false">IF(AI343="","",IF(INDEX($L:$L,343)="",1,IF(COUNTIF($L$7:L343,INDEX($L:$L,343))=1,1,"")))</f>
        <v/>
      </c>
      <c r="AO343" s="95" t="str">
        <f aca="false">IF(AN343&lt;&gt;1,"",IF(INDEX($L:$L,343)="",IF(INDEX($S:$S,343)="Yes",1,""),IF(COUNTIFS($L$7:$L$506,INDEX($L:$L,343),$S$7:$S$506,"Yes")&gt;0,1,"")))</f>
        <v/>
      </c>
      <c r="AP343" s="95" t="str">
        <f aca="false">IF(AN343&lt;&gt;1,"",IF(INDEX($L:$L,343)&lt;&gt;"",INDEX($L:$L,343),TRIM(INDEX($D:$D,343)&amp;" "&amp;INDEX($C:$C,343))))</f>
        <v/>
      </c>
      <c r="AQ343" s="43" t="str">
        <f aca="false">IF(OR(AI343="",INDEX($I:$I,343)="Yes"),"",1)</f>
        <v/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customFormat="false" ht="21.75" hidden="false" customHeight="true" outlineLevel="0" collapsed="false">
      <c r="A344" s="1"/>
      <c r="B344" s="113" t="str">
        <f aca="false">IF(AI344="","",COUNT($AI$7:AI344))</f>
        <v/>
      </c>
      <c r="C344" s="114"/>
      <c r="D344" s="114"/>
      <c r="E344" s="114"/>
      <c r="F344" s="114"/>
      <c r="G344" s="115"/>
      <c r="H344" s="115"/>
      <c r="I344" s="115"/>
      <c r="J344" s="115"/>
      <c r="K344" s="115"/>
      <c r="L344" s="114"/>
      <c r="M344" s="114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4"/>
      <c r="Y344" s="114"/>
      <c r="Z344" s="115"/>
      <c r="AA344" s="114"/>
      <c r="AB344" s="114"/>
      <c r="AC344" s="115"/>
      <c r="AD344" s="116"/>
      <c r="AE344" s="114"/>
      <c r="AF344" s="114"/>
      <c r="AG344" s="114"/>
      <c r="AH344" s="1"/>
      <c r="AI344" s="95" t="str">
        <f aca="false">IF(INDEX($C:$C,344)&amp;INDEX($D:$D,344)="","",1)</f>
        <v/>
      </c>
      <c r="AJ344" s="95" t="str">
        <f aca="false">IF(OR(AI344="",INDEX($Z:$Z,344)="",INDEX($U:$U,344)="Declined"),"",1)</f>
        <v/>
      </c>
      <c r="AK344" s="95" t="str">
        <f aca="false">IF(AJ344="","",INDEX($Z:$Z,344)&amp;"-"&amp;COUNTIFS($Z$7:Z344,INDEX($Z:$Z,344),$AJ$7:AJ344,1))</f>
        <v/>
      </c>
      <c r="AL344" s="43" t="str">
        <f aca="false">IF(AI344="","",TRIM(INDEX($D:$D,344)&amp;" "&amp;INDEX($C:$C,344))&amp;IF(INDEX($I:$I,344)="Yes"," (child)",""))</f>
        <v/>
      </c>
      <c r="AM344" s="95" t="str">
        <f aca="false">IF(OR(AI344="",INDEX($X:$X,344)="",INDEX($U:$U,344)="Declined"),"",COUNTIFS($X$7:X344,"?*",$U$7:U344,"&lt;&gt;Declined",$AI$7:AI344,1))</f>
        <v/>
      </c>
      <c r="AN344" s="95" t="str">
        <f aca="false">IF(AI344="","",IF(INDEX($L:$L,344)="",1,IF(COUNTIF($L$7:L344,INDEX($L:$L,344))=1,1,"")))</f>
        <v/>
      </c>
      <c r="AO344" s="95" t="str">
        <f aca="false">IF(AN344&lt;&gt;1,"",IF(INDEX($L:$L,344)="",IF(INDEX($S:$S,344)="Yes",1,""),IF(COUNTIFS($L$7:$L$506,INDEX($L:$L,344),$S$7:$S$506,"Yes")&gt;0,1,"")))</f>
        <v/>
      </c>
      <c r="AP344" s="95" t="str">
        <f aca="false">IF(AN344&lt;&gt;1,"",IF(INDEX($L:$L,344)&lt;&gt;"",INDEX($L:$L,344),TRIM(INDEX($D:$D,344)&amp;" "&amp;INDEX($C:$C,344))))</f>
        <v/>
      </c>
      <c r="AQ344" s="43" t="str">
        <f aca="false">IF(OR(AI344="",INDEX($I:$I,344)="Yes"),"",1)</f>
        <v/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customFormat="false" ht="21.75" hidden="false" customHeight="true" outlineLevel="0" collapsed="false">
      <c r="A345" s="1"/>
      <c r="B345" s="113" t="str">
        <f aca="false">IF(AI345="","",COUNT($AI$7:AI345))</f>
        <v/>
      </c>
      <c r="C345" s="114"/>
      <c r="D345" s="114"/>
      <c r="E345" s="114"/>
      <c r="F345" s="114"/>
      <c r="G345" s="115"/>
      <c r="H345" s="115"/>
      <c r="I345" s="115"/>
      <c r="J345" s="115"/>
      <c r="K345" s="115"/>
      <c r="L345" s="114"/>
      <c r="M345" s="114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4"/>
      <c r="Y345" s="114"/>
      <c r="Z345" s="115"/>
      <c r="AA345" s="114"/>
      <c r="AB345" s="114"/>
      <c r="AC345" s="115"/>
      <c r="AD345" s="116"/>
      <c r="AE345" s="114"/>
      <c r="AF345" s="114"/>
      <c r="AG345" s="114"/>
      <c r="AH345" s="1"/>
      <c r="AI345" s="95" t="str">
        <f aca="false">IF(INDEX($C:$C,345)&amp;INDEX($D:$D,345)="","",1)</f>
        <v/>
      </c>
      <c r="AJ345" s="95" t="str">
        <f aca="false">IF(OR(AI345="",INDEX($Z:$Z,345)="",INDEX($U:$U,345)="Declined"),"",1)</f>
        <v/>
      </c>
      <c r="AK345" s="95" t="str">
        <f aca="false">IF(AJ345="","",INDEX($Z:$Z,345)&amp;"-"&amp;COUNTIFS($Z$7:Z345,INDEX($Z:$Z,345),$AJ$7:AJ345,1))</f>
        <v/>
      </c>
      <c r="AL345" s="43" t="str">
        <f aca="false">IF(AI345="","",TRIM(INDEX($D:$D,345)&amp;" "&amp;INDEX($C:$C,345))&amp;IF(INDEX($I:$I,345)="Yes"," (child)",""))</f>
        <v/>
      </c>
      <c r="AM345" s="95" t="str">
        <f aca="false">IF(OR(AI345="",INDEX($X:$X,345)="",INDEX($U:$U,345)="Declined"),"",COUNTIFS($X$7:X345,"?*",$U$7:U345,"&lt;&gt;Declined",$AI$7:AI345,1))</f>
        <v/>
      </c>
      <c r="AN345" s="95" t="str">
        <f aca="false">IF(AI345="","",IF(INDEX($L:$L,345)="",1,IF(COUNTIF($L$7:L345,INDEX($L:$L,345))=1,1,"")))</f>
        <v/>
      </c>
      <c r="AO345" s="95" t="str">
        <f aca="false">IF(AN345&lt;&gt;1,"",IF(INDEX($L:$L,345)="",IF(INDEX($S:$S,345)="Yes",1,""),IF(COUNTIFS($L$7:$L$506,INDEX($L:$L,345),$S$7:$S$506,"Yes")&gt;0,1,"")))</f>
        <v/>
      </c>
      <c r="AP345" s="95" t="str">
        <f aca="false">IF(AN345&lt;&gt;1,"",IF(INDEX($L:$L,345)&lt;&gt;"",INDEX($L:$L,345),TRIM(INDEX($D:$D,345)&amp;" "&amp;INDEX($C:$C,345))))</f>
        <v/>
      </c>
      <c r="AQ345" s="43" t="str">
        <f aca="false">IF(OR(AI345="",INDEX($I:$I,345)="Yes"),"",1)</f>
        <v/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customFormat="false" ht="21.75" hidden="false" customHeight="true" outlineLevel="0" collapsed="false">
      <c r="A346" s="1"/>
      <c r="B346" s="113" t="str">
        <f aca="false">IF(AI346="","",COUNT($AI$7:AI346))</f>
        <v/>
      </c>
      <c r="C346" s="114"/>
      <c r="D346" s="114"/>
      <c r="E346" s="114"/>
      <c r="F346" s="114"/>
      <c r="G346" s="115"/>
      <c r="H346" s="115"/>
      <c r="I346" s="115"/>
      <c r="J346" s="115"/>
      <c r="K346" s="115"/>
      <c r="L346" s="114"/>
      <c r="M346" s="114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4"/>
      <c r="Y346" s="114"/>
      <c r="Z346" s="115"/>
      <c r="AA346" s="114"/>
      <c r="AB346" s="114"/>
      <c r="AC346" s="115"/>
      <c r="AD346" s="116"/>
      <c r="AE346" s="114"/>
      <c r="AF346" s="114"/>
      <c r="AG346" s="114"/>
      <c r="AH346" s="1"/>
      <c r="AI346" s="95" t="str">
        <f aca="false">IF(INDEX($C:$C,346)&amp;INDEX($D:$D,346)="","",1)</f>
        <v/>
      </c>
      <c r="AJ346" s="95" t="str">
        <f aca="false">IF(OR(AI346="",INDEX($Z:$Z,346)="",INDEX($U:$U,346)="Declined"),"",1)</f>
        <v/>
      </c>
      <c r="AK346" s="95" t="str">
        <f aca="false">IF(AJ346="","",INDEX($Z:$Z,346)&amp;"-"&amp;COUNTIFS($Z$7:Z346,INDEX($Z:$Z,346),$AJ$7:AJ346,1))</f>
        <v/>
      </c>
      <c r="AL346" s="43" t="str">
        <f aca="false">IF(AI346="","",TRIM(INDEX($D:$D,346)&amp;" "&amp;INDEX($C:$C,346))&amp;IF(INDEX($I:$I,346)="Yes"," (child)",""))</f>
        <v/>
      </c>
      <c r="AM346" s="95" t="str">
        <f aca="false">IF(OR(AI346="",INDEX($X:$X,346)="",INDEX($U:$U,346)="Declined"),"",COUNTIFS($X$7:X346,"?*",$U$7:U346,"&lt;&gt;Declined",$AI$7:AI346,1))</f>
        <v/>
      </c>
      <c r="AN346" s="95" t="str">
        <f aca="false">IF(AI346="","",IF(INDEX($L:$L,346)="",1,IF(COUNTIF($L$7:L346,INDEX($L:$L,346))=1,1,"")))</f>
        <v/>
      </c>
      <c r="AO346" s="95" t="str">
        <f aca="false">IF(AN346&lt;&gt;1,"",IF(INDEX($L:$L,346)="",IF(INDEX($S:$S,346)="Yes",1,""),IF(COUNTIFS($L$7:$L$506,INDEX($L:$L,346),$S$7:$S$506,"Yes")&gt;0,1,"")))</f>
        <v/>
      </c>
      <c r="AP346" s="95" t="str">
        <f aca="false">IF(AN346&lt;&gt;1,"",IF(INDEX($L:$L,346)&lt;&gt;"",INDEX($L:$L,346),TRIM(INDEX($D:$D,346)&amp;" "&amp;INDEX($C:$C,346))))</f>
        <v/>
      </c>
      <c r="AQ346" s="43" t="str">
        <f aca="false">IF(OR(AI346="",INDEX($I:$I,346)="Yes"),"",1)</f>
        <v/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customFormat="false" ht="21.75" hidden="false" customHeight="true" outlineLevel="0" collapsed="false">
      <c r="A347" s="1"/>
      <c r="B347" s="113" t="str">
        <f aca="false">IF(AI347="","",COUNT($AI$7:AI347))</f>
        <v/>
      </c>
      <c r="C347" s="114"/>
      <c r="D347" s="114"/>
      <c r="E347" s="114"/>
      <c r="F347" s="114"/>
      <c r="G347" s="115"/>
      <c r="H347" s="115"/>
      <c r="I347" s="115"/>
      <c r="J347" s="115"/>
      <c r="K347" s="115"/>
      <c r="L347" s="114"/>
      <c r="M347" s="114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4"/>
      <c r="Y347" s="114"/>
      <c r="Z347" s="115"/>
      <c r="AA347" s="114"/>
      <c r="AB347" s="114"/>
      <c r="AC347" s="115"/>
      <c r="AD347" s="116"/>
      <c r="AE347" s="114"/>
      <c r="AF347" s="114"/>
      <c r="AG347" s="114"/>
      <c r="AH347" s="1"/>
      <c r="AI347" s="95" t="str">
        <f aca="false">IF(INDEX($C:$C,347)&amp;INDEX($D:$D,347)="","",1)</f>
        <v/>
      </c>
      <c r="AJ347" s="95" t="str">
        <f aca="false">IF(OR(AI347="",INDEX($Z:$Z,347)="",INDEX($U:$U,347)="Declined"),"",1)</f>
        <v/>
      </c>
      <c r="AK347" s="95" t="str">
        <f aca="false">IF(AJ347="","",INDEX($Z:$Z,347)&amp;"-"&amp;COUNTIFS($Z$7:Z347,INDEX($Z:$Z,347),$AJ$7:AJ347,1))</f>
        <v/>
      </c>
      <c r="AL347" s="43" t="str">
        <f aca="false">IF(AI347="","",TRIM(INDEX($D:$D,347)&amp;" "&amp;INDEX($C:$C,347))&amp;IF(INDEX($I:$I,347)="Yes"," (child)",""))</f>
        <v/>
      </c>
      <c r="AM347" s="95" t="str">
        <f aca="false">IF(OR(AI347="",INDEX($X:$X,347)="",INDEX($U:$U,347)="Declined"),"",COUNTIFS($X$7:X347,"?*",$U$7:U347,"&lt;&gt;Declined",$AI$7:AI347,1))</f>
        <v/>
      </c>
      <c r="AN347" s="95" t="str">
        <f aca="false">IF(AI347="","",IF(INDEX($L:$L,347)="",1,IF(COUNTIF($L$7:L347,INDEX($L:$L,347))=1,1,"")))</f>
        <v/>
      </c>
      <c r="AO347" s="95" t="str">
        <f aca="false">IF(AN347&lt;&gt;1,"",IF(INDEX($L:$L,347)="",IF(INDEX($S:$S,347)="Yes",1,""),IF(COUNTIFS($L$7:$L$506,INDEX($L:$L,347),$S$7:$S$506,"Yes")&gt;0,1,"")))</f>
        <v/>
      </c>
      <c r="AP347" s="95" t="str">
        <f aca="false">IF(AN347&lt;&gt;1,"",IF(INDEX($L:$L,347)&lt;&gt;"",INDEX($L:$L,347),TRIM(INDEX($D:$D,347)&amp;" "&amp;INDEX($C:$C,347))))</f>
        <v/>
      </c>
      <c r="AQ347" s="43" t="str">
        <f aca="false">IF(OR(AI347="",INDEX($I:$I,347)="Yes"),"",1)</f>
        <v/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customFormat="false" ht="21.75" hidden="false" customHeight="true" outlineLevel="0" collapsed="false">
      <c r="A348" s="1"/>
      <c r="B348" s="113" t="str">
        <f aca="false">IF(AI348="","",COUNT($AI$7:AI348))</f>
        <v/>
      </c>
      <c r="C348" s="114"/>
      <c r="D348" s="114"/>
      <c r="E348" s="114"/>
      <c r="F348" s="114"/>
      <c r="G348" s="115"/>
      <c r="H348" s="115"/>
      <c r="I348" s="115"/>
      <c r="J348" s="115"/>
      <c r="K348" s="115"/>
      <c r="L348" s="114"/>
      <c r="M348" s="114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4"/>
      <c r="Y348" s="114"/>
      <c r="Z348" s="115"/>
      <c r="AA348" s="114"/>
      <c r="AB348" s="114"/>
      <c r="AC348" s="115"/>
      <c r="AD348" s="116"/>
      <c r="AE348" s="114"/>
      <c r="AF348" s="114"/>
      <c r="AG348" s="114"/>
      <c r="AH348" s="1"/>
      <c r="AI348" s="95" t="str">
        <f aca="false">IF(INDEX($C:$C,348)&amp;INDEX($D:$D,348)="","",1)</f>
        <v/>
      </c>
      <c r="AJ348" s="95" t="str">
        <f aca="false">IF(OR(AI348="",INDEX($Z:$Z,348)="",INDEX($U:$U,348)="Declined"),"",1)</f>
        <v/>
      </c>
      <c r="AK348" s="95" t="str">
        <f aca="false">IF(AJ348="","",INDEX($Z:$Z,348)&amp;"-"&amp;COUNTIFS($Z$7:Z348,INDEX($Z:$Z,348),$AJ$7:AJ348,1))</f>
        <v/>
      </c>
      <c r="AL348" s="43" t="str">
        <f aca="false">IF(AI348="","",TRIM(INDEX($D:$D,348)&amp;" "&amp;INDEX($C:$C,348))&amp;IF(INDEX($I:$I,348)="Yes"," (child)",""))</f>
        <v/>
      </c>
      <c r="AM348" s="95" t="str">
        <f aca="false">IF(OR(AI348="",INDEX($X:$X,348)="",INDEX($U:$U,348)="Declined"),"",COUNTIFS($X$7:X348,"?*",$U$7:U348,"&lt;&gt;Declined",$AI$7:AI348,1))</f>
        <v/>
      </c>
      <c r="AN348" s="95" t="str">
        <f aca="false">IF(AI348="","",IF(INDEX($L:$L,348)="",1,IF(COUNTIF($L$7:L348,INDEX($L:$L,348))=1,1,"")))</f>
        <v/>
      </c>
      <c r="AO348" s="95" t="str">
        <f aca="false">IF(AN348&lt;&gt;1,"",IF(INDEX($L:$L,348)="",IF(INDEX($S:$S,348)="Yes",1,""),IF(COUNTIFS($L$7:$L$506,INDEX($L:$L,348),$S$7:$S$506,"Yes")&gt;0,1,"")))</f>
        <v/>
      </c>
      <c r="AP348" s="95" t="str">
        <f aca="false">IF(AN348&lt;&gt;1,"",IF(INDEX($L:$L,348)&lt;&gt;"",INDEX($L:$L,348),TRIM(INDEX($D:$D,348)&amp;" "&amp;INDEX($C:$C,348))))</f>
        <v/>
      </c>
      <c r="AQ348" s="43" t="str">
        <f aca="false">IF(OR(AI348="",INDEX($I:$I,348)="Yes"),"",1)</f>
        <v/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customFormat="false" ht="21.75" hidden="false" customHeight="true" outlineLevel="0" collapsed="false">
      <c r="A349" s="1"/>
      <c r="B349" s="113" t="str">
        <f aca="false">IF(AI349="","",COUNT($AI$7:AI349))</f>
        <v/>
      </c>
      <c r="C349" s="114"/>
      <c r="D349" s="114"/>
      <c r="E349" s="114"/>
      <c r="F349" s="114"/>
      <c r="G349" s="115"/>
      <c r="H349" s="115"/>
      <c r="I349" s="115"/>
      <c r="J349" s="115"/>
      <c r="K349" s="115"/>
      <c r="L349" s="114"/>
      <c r="M349" s="114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4"/>
      <c r="Y349" s="114"/>
      <c r="Z349" s="115"/>
      <c r="AA349" s="114"/>
      <c r="AB349" s="114"/>
      <c r="AC349" s="115"/>
      <c r="AD349" s="116"/>
      <c r="AE349" s="114"/>
      <c r="AF349" s="114"/>
      <c r="AG349" s="114"/>
      <c r="AH349" s="1"/>
      <c r="AI349" s="95" t="str">
        <f aca="false">IF(INDEX($C:$C,349)&amp;INDEX($D:$D,349)="","",1)</f>
        <v/>
      </c>
      <c r="AJ349" s="95" t="str">
        <f aca="false">IF(OR(AI349="",INDEX($Z:$Z,349)="",INDEX($U:$U,349)="Declined"),"",1)</f>
        <v/>
      </c>
      <c r="AK349" s="95" t="str">
        <f aca="false">IF(AJ349="","",INDEX($Z:$Z,349)&amp;"-"&amp;COUNTIFS($Z$7:Z349,INDEX($Z:$Z,349),$AJ$7:AJ349,1))</f>
        <v/>
      </c>
      <c r="AL349" s="43" t="str">
        <f aca="false">IF(AI349="","",TRIM(INDEX($D:$D,349)&amp;" "&amp;INDEX($C:$C,349))&amp;IF(INDEX($I:$I,349)="Yes"," (child)",""))</f>
        <v/>
      </c>
      <c r="AM349" s="95" t="str">
        <f aca="false">IF(OR(AI349="",INDEX($X:$X,349)="",INDEX($U:$U,349)="Declined"),"",COUNTIFS($X$7:X349,"?*",$U$7:U349,"&lt;&gt;Declined",$AI$7:AI349,1))</f>
        <v/>
      </c>
      <c r="AN349" s="95" t="str">
        <f aca="false">IF(AI349="","",IF(INDEX($L:$L,349)="",1,IF(COUNTIF($L$7:L349,INDEX($L:$L,349))=1,1,"")))</f>
        <v/>
      </c>
      <c r="AO349" s="95" t="str">
        <f aca="false">IF(AN349&lt;&gt;1,"",IF(INDEX($L:$L,349)="",IF(INDEX($S:$S,349)="Yes",1,""),IF(COUNTIFS($L$7:$L$506,INDEX($L:$L,349),$S$7:$S$506,"Yes")&gt;0,1,"")))</f>
        <v/>
      </c>
      <c r="AP349" s="95" t="str">
        <f aca="false">IF(AN349&lt;&gt;1,"",IF(INDEX($L:$L,349)&lt;&gt;"",INDEX($L:$L,349),TRIM(INDEX($D:$D,349)&amp;" "&amp;INDEX($C:$C,349))))</f>
        <v/>
      </c>
      <c r="AQ349" s="43" t="str">
        <f aca="false">IF(OR(AI349="",INDEX($I:$I,349)="Yes"),"",1)</f>
        <v/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customFormat="false" ht="21.75" hidden="false" customHeight="true" outlineLevel="0" collapsed="false">
      <c r="A350" s="1"/>
      <c r="B350" s="113" t="str">
        <f aca="false">IF(AI350="","",COUNT($AI$7:AI350))</f>
        <v/>
      </c>
      <c r="C350" s="114"/>
      <c r="D350" s="114"/>
      <c r="E350" s="114"/>
      <c r="F350" s="114"/>
      <c r="G350" s="115"/>
      <c r="H350" s="115"/>
      <c r="I350" s="115"/>
      <c r="J350" s="115"/>
      <c r="K350" s="115"/>
      <c r="L350" s="114"/>
      <c r="M350" s="114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4"/>
      <c r="Y350" s="114"/>
      <c r="Z350" s="115"/>
      <c r="AA350" s="114"/>
      <c r="AB350" s="114"/>
      <c r="AC350" s="115"/>
      <c r="AD350" s="116"/>
      <c r="AE350" s="114"/>
      <c r="AF350" s="114"/>
      <c r="AG350" s="114"/>
      <c r="AH350" s="1"/>
      <c r="AI350" s="95" t="str">
        <f aca="false">IF(INDEX($C:$C,350)&amp;INDEX($D:$D,350)="","",1)</f>
        <v/>
      </c>
      <c r="AJ350" s="95" t="str">
        <f aca="false">IF(OR(AI350="",INDEX($Z:$Z,350)="",INDEX($U:$U,350)="Declined"),"",1)</f>
        <v/>
      </c>
      <c r="AK350" s="95" t="str">
        <f aca="false">IF(AJ350="","",INDEX($Z:$Z,350)&amp;"-"&amp;COUNTIFS($Z$7:Z350,INDEX($Z:$Z,350),$AJ$7:AJ350,1))</f>
        <v/>
      </c>
      <c r="AL350" s="43" t="str">
        <f aca="false">IF(AI350="","",TRIM(INDEX($D:$D,350)&amp;" "&amp;INDEX($C:$C,350))&amp;IF(INDEX($I:$I,350)="Yes"," (child)",""))</f>
        <v/>
      </c>
      <c r="AM350" s="95" t="str">
        <f aca="false">IF(OR(AI350="",INDEX($X:$X,350)="",INDEX($U:$U,350)="Declined"),"",COUNTIFS($X$7:X350,"?*",$U$7:U350,"&lt;&gt;Declined",$AI$7:AI350,1))</f>
        <v/>
      </c>
      <c r="AN350" s="95" t="str">
        <f aca="false">IF(AI350="","",IF(INDEX($L:$L,350)="",1,IF(COUNTIF($L$7:L350,INDEX($L:$L,350))=1,1,"")))</f>
        <v/>
      </c>
      <c r="AO350" s="95" t="str">
        <f aca="false">IF(AN350&lt;&gt;1,"",IF(INDEX($L:$L,350)="",IF(INDEX($S:$S,350)="Yes",1,""),IF(COUNTIFS($L$7:$L$506,INDEX($L:$L,350),$S$7:$S$506,"Yes")&gt;0,1,"")))</f>
        <v/>
      </c>
      <c r="AP350" s="95" t="str">
        <f aca="false">IF(AN350&lt;&gt;1,"",IF(INDEX($L:$L,350)&lt;&gt;"",INDEX($L:$L,350),TRIM(INDEX($D:$D,350)&amp;" "&amp;INDEX($C:$C,350))))</f>
        <v/>
      </c>
      <c r="AQ350" s="43" t="str">
        <f aca="false">IF(OR(AI350="",INDEX($I:$I,350)="Yes"),"",1)</f>
        <v/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customFormat="false" ht="21.75" hidden="false" customHeight="true" outlineLevel="0" collapsed="false">
      <c r="A351" s="1"/>
      <c r="B351" s="113" t="str">
        <f aca="false">IF(AI351="","",COUNT($AI$7:AI351))</f>
        <v/>
      </c>
      <c r="C351" s="114"/>
      <c r="D351" s="114"/>
      <c r="E351" s="114"/>
      <c r="F351" s="114"/>
      <c r="G351" s="115"/>
      <c r="H351" s="115"/>
      <c r="I351" s="115"/>
      <c r="J351" s="115"/>
      <c r="K351" s="115"/>
      <c r="L351" s="114"/>
      <c r="M351" s="114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4"/>
      <c r="Y351" s="114"/>
      <c r="Z351" s="115"/>
      <c r="AA351" s="114"/>
      <c r="AB351" s="114"/>
      <c r="AC351" s="115"/>
      <c r="AD351" s="116"/>
      <c r="AE351" s="114"/>
      <c r="AF351" s="114"/>
      <c r="AG351" s="114"/>
      <c r="AH351" s="1"/>
      <c r="AI351" s="95" t="str">
        <f aca="false">IF(INDEX($C:$C,351)&amp;INDEX($D:$D,351)="","",1)</f>
        <v/>
      </c>
      <c r="AJ351" s="95" t="str">
        <f aca="false">IF(OR(AI351="",INDEX($Z:$Z,351)="",INDEX($U:$U,351)="Declined"),"",1)</f>
        <v/>
      </c>
      <c r="AK351" s="95" t="str">
        <f aca="false">IF(AJ351="","",INDEX($Z:$Z,351)&amp;"-"&amp;COUNTIFS($Z$7:Z351,INDEX($Z:$Z,351),$AJ$7:AJ351,1))</f>
        <v/>
      </c>
      <c r="AL351" s="43" t="str">
        <f aca="false">IF(AI351="","",TRIM(INDEX($D:$D,351)&amp;" "&amp;INDEX($C:$C,351))&amp;IF(INDEX($I:$I,351)="Yes"," (child)",""))</f>
        <v/>
      </c>
      <c r="AM351" s="95" t="str">
        <f aca="false">IF(OR(AI351="",INDEX($X:$X,351)="",INDEX($U:$U,351)="Declined"),"",COUNTIFS($X$7:X351,"?*",$U$7:U351,"&lt;&gt;Declined",$AI$7:AI351,1))</f>
        <v/>
      </c>
      <c r="AN351" s="95" t="str">
        <f aca="false">IF(AI351="","",IF(INDEX($L:$L,351)="",1,IF(COUNTIF($L$7:L351,INDEX($L:$L,351))=1,1,"")))</f>
        <v/>
      </c>
      <c r="AO351" s="95" t="str">
        <f aca="false">IF(AN351&lt;&gt;1,"",IF(INDEX($L:$L,351)="",IF(INDEX($S:$S,351)="Yes",1,""),IF(COUNTIFS($L$7:$L$506,INDEX($L:$L,351),$S$7:$S$506,"Yes")&gt;0,1,"")))</f>
        <v/>
      </c>
      <c r="AP351" s="95" t="str">
        <f aca="false">IF(AN351&lt;&gt;1,"",IF(INDEX($L:$L,351)&lt;&gt;"",INDEX($L:$L,351),TRIM(INDEX($D:$D,351)&amp;" "&amp;INDEX($C:$C,351))))</f>
        <v/>
      </c>
      <c r="AQ351" s="43" t="str">
        <f aca="false">IF(OR(AI351="",INDEX($I:$I,351)="Yes"),"",1)</f>
        <v/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customFormat="false" ht="21.75" hidden="false" customHeight="true" outlineLevel="0" collapsed="false">
      <c r="A352" s="1"/>
      <c r="B352" s="113" t="str">
        <f aca="false">IF(AI352="","",COUNT($AI$7:AI352))</f>
        <v/>
      </c>
      <c r="C352" s="114"/>
      <c r="D352" s="114"/>
      <c r="E352" s="114"/>
      <c r="F352" s="114"/>
      <c r="G352" s="115"/>
      <c r="H352" s="115"/>
      <c r="I352" s="115"/>
      <c r="J352" s="115"/>
      <c r="K352" s="115"/>
      <c r="L352" s="114"/>
      <c r="M352" s="114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4"/>
      <c r="Y352" s="114"/>
      <c r="Z352" s="115"/>
      <c r="AA352" s="114"/>
      <c r="AB352" s="114"/>
      <c r="AC352" s="115"/>
      <c r="AD352" s="116"/>
      <c r="AE352" s="114"/>
      <c r="AF352" s="114"/>
      <c r="AG352" s="114"/>
      <c r="AH352" s="1"/>
      <c r="AI352" s="95" t="str">
        <f aca="false">IF(INDEX($C:$C,352)&amp;INDEX($D:$D,352)="","",1)</f>
        <v/>
      </c>
      <c r="AJ352" s="95" t="str">
        <f aca="false">IF(OR(AI352="",INDEX($Z:$Z,352)="",INDEX($U:$U,352)="Declined"),"",1)</f>
        <v/>
      </c>
      <c r="AK352" s="95" t="str">
        <f aca="false">IF(AJ352="","",INDEX($Z:$Z,352)&amp;"-"&amp;COUNTIFS($Z$7:Z352,INDEX($Z:$Z,352),$AJ$7:AJ352,1))</f>
        <v/>
      </c>
      <c r="AL352" s="43" t="str">
        <f aca="false">IF(AI352="","",TRIM(INDEX($D:$D,352)&amp;" "&amp;INDEX($C:$C,352))&amp;IF(INDEX($I:$I,352)="Yes"," (child)",""))</f>
        <v/>
      </c>
      <c r="AM352" s="95" t="str">
        <f aca="false">IF(OR(AI352="",INDEX($X:$X,352)="",INDEX($U:$U,352)="Declined"),"",COUNTIFS($X$7:X352,"?*",$U$7:U352,"&lt;&gt;Declined",$AI$7:AI352,1))</f>
        <v/>
      </c>
      <c r="AN352" s="95" t="str">
        <f aca="false">IF(AI352="","",IF(INDEX($L:$L,352)="",1,IF(COUNTIF($L$7:L352,INDEX($L:$L,352))=1,1,"")))</f>
        <v/>
      </c>
      <c r="AO352" s="95" t="str">
        <f aca="false">IF(AN352&lt;&gt;1,"",IF(INDEX($L:$L,352)="",IF(INDEX($S:$S,352)="Yes",1,""),IF(COUNTIFS($L$7:$L$506,INDEX($L:$L,352),$S$7:$S$506,"Yes")&gt;0,1,"")))</f>
        <v/>
      </c>
      <c r="AP352" s="95" t="str">
        <f aca="false">IF(AN352&lt;&gt;1,"",IF(INDEX($L:$L,352)&lt;&gt;"",INDEX($L:$L,352),TRIM(INDEX($D:$D,352)&amp;" "&amp;INDEX($C:$C,352))))</f>
        <v/>
      </c>
      <c r="AQ352" s="43" t="str">
        <f aca="false">IF(OR(AI352="",INDEX($I:$I,352)="Yes"),"",1)</f>
        <v/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customFormat="false" ht="21.75" hidden="false" customHeight="true" outlineLevel="0" collapsed="false">
      <c r="A353" s="1"/>
      <c r="B353" s="113" t="str">
        <f aca="false">IF(AI353="","",COUNT($AI$7:AI353))</f>
        <v/>
      </c>
      <c r="C353" s="114"/>
      <c r="D353" s="114"/>
      <c r="E353" s="114"/>
      <c r="F353" s="114"/>
      <c r="G353" s="115"/>
      <c r="H353" s="115"/>
      <c r="I353" s="115"/>
      <c r="J353" s="115"/>
      <c r="K353" s="115"/>
      <c r="L353" s="114"/>
      <c r="M353" s="114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4"/>
      <c r="Y353" s="114"/>
      <c r="Z353" s="115"/>
      <c r="AA353" s="114"/>
      <c r="AB353" s="114"/>
      <c r="AC353" s="115"/>
      <c r="AD353" s="116"/>
      <c r="AE353" s="114"/>
      <c r="AF353" s="114"/>
      <c r="AG353" s="114"/>
      <c r="AH353" s="1"/>
      <c r="AI353" s="95" t="str">
        <f aca="false">IF(INDEX($C:$C,353)&amp;INDEX($D:$D,353)="","",1)</f>
        <v/>
      </c>
      <c r="AJ353" s="95" t="str">
        <f aca="false">IF(OR(AI353="",INDEX($Z:$Z,353)="",INDEX($U:$U,353)="Declined"),"",1)</f>
        <v/>
      </c>
      <c r="AK353" s="95" t="str">
        <f aca="false">IF(AJ353="","",INDEX($Z:$Z,353)&amp;"-"&amp;COUNTIFS($Z$7:Z353,INDEX($Z:$Z,353),$AJ$7:AJ353,1))</f>
        <v/>
      </c>
      <c r="AL353" s="43" t="str">
        <f aca="false">IF(AI353="","",TRIM(INDEX($D:$D,353)&amp;" "&amp;INDEX($C:$C,353))&amp;IF(INDEX($I:$I,353)="Yes"," (child)",""))</f>
        <v/>
      </c>
      <c r="AM353" s="95" t="str">
        <f aca="false">IF(OR(AI353="",INDEX($X:$X,353)="",INDEX($U:$U,353)="Declined"),"",COUNTIFS($X$7:X353,"?*",$U$7:U353,"&lt;&gt;Declined",$AI$7:AI353,1))</f>
        <v/>
      </c>
      <c r="AN353" s="95" t="str">
        <f aca="false">IF(AI353="","",IF(INDEX($L:$L,353)="",1,IF(COUNTIF($L$7:L353,INDEX($L:$L,353))=1,1,"")))</f>
        <v/>
      </c>
      <c r="AO353" s="95" t="str">
        <f aca="false">IF(AN353&lt;&gt;1,"",IF(INDEX($L:$L,353)="",IF(INDEX($S:$S,353)="Yes",1,""),IF(COUNTIFS($L$7:$L$506,INDEX($L:$L,353),$S$7:$S$506,"Yes")&gt;0,1,"")))</f>
        <v/>
      </c>
      <c r="AP353" s="95" t="str">
        <f aca="false">IF(AN353&lt;&gt;1,"",IF(INDEX($L:$L,353)&lt;&gt;"",INDEX($L:$L,353),TRIM(INDEX($D:$D,353)&amp;" "&amp;INDEX($C:$C,353))))</f>
        <v/>
      </c>
      <c r="AQ353" s="43" t="str">
        <f aca="false">IF(OR(AI353="",INDEX($I:$I,353)="Yes"),"",1)</f>
        <v/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customFormat="false" ht="21.75" hidden="false" customHeight="true" outlineLevel="0" collapsed="false">
      <c r="A354" s="1"/>
      <c r="B354" s="113" t="str">
        <f aca="false">IF(AI354="","",COUNT($AI$7:AI354))</f>
        <v/>
      </c>
      <c r="C354" s="114"/>
      <c r="D354" s="114"/>
      <c r="E354" s="114"/>
      <c r="F354" s="114"/>
      <c r="G354" s="115"/>
      <c r="H354" s="115"/>
      <c r="I354" s="115"/>
      <c r="J354" s="115"/>
      <c r="K354" s="115"/>
      <c r="L354" s="114"/>
      <c r="M354" s="114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4"/>
      <c r="Y354" s="114"/>
      <c r="Z354" s="115"/>
      <c r="AA354" s="114"/>
      <c r="AB354" s="114"/>
      <c r="AC354" s="115"/>
      <c r="AD354" s="116"/>
      <c r="AE354" s="114"/>
      <c r="AF354" s="114"/>
      <c r="AG354" s="114"/>
      <c r="AH354" s="1"/>
      <c r="AI354" s="95" t="str">
        <f aca="false">IF(INDEX($C:$C,354)&amp;INDEX($D:$D,354)="","",1)</f>
        <v/>
      </c>
      <c r="AJ354" s="95" t="str">
        <f aca="false">IF(OR(AI354="",INDEX($Z:$Z,354)="",INDEX($U:$U,354)="Declined"),"",1)</f>
        <v/>
      </c>
      <c r="AK354" s="95" t="str">
        <f aca="false">IF(AJ354="","",INDEX($Z:$Z,354)&amp;"-"&amp;COUNTIFS($Z$7:Z354,INDEX($Z:$Z,354),$AJ$7:AJ354,1))</f>
        <v/>
      </c>
      <c r="AL354" s="43" t="str">
        <f aca="false">IF(AI354="","",TRIM(INDEX($D:$D,354)&amp;" "&amp;INDEX($C:$C,354))&amp;IF(INDEX($I:$I,354)="Yes"," (child)",""))</f>
        <v/>
      </c>
      <c r="AM354" s="95" t="str">
        <f aca="false">IF(OR(AI354="",INDEX($X:$X,354)="",INDEX($U:$U,354)="Declined"),"",COUNTIFS($X$7:X354,"?*",$U$7:U354,"&lt;&gt;Declined",$AI$7:AI354,1))</f>
        <v/>
      </c>
      <c r="AN354" s="95" t="str">
        <f aca="false">IF(AI354="","",IF(INDEX($L:$L,354)="",1,IF(COUNTIF($L$7:L354,INDEX($L:$L,354))=1,1,"")))</f>
        <v/>
      </c>
      <c r="AO354" s="95" t="str">
        <f aca="false">IF(AN354&lt;&gt;1,"",IF(INDEX($L:$L,354)="",IF(INDEX($S:$S,354)="Yes",1,""),IF(COUNTIFS($L$7:$L$506,INDEX($L:$L,354),$S$7:$S$506,"Yes")&gt;0,1,"")))</f>
        <v/>
      </c>
      <c r="AP354" s="95" t="str">
        <f aca="false">IF(AN354&lt;&gt;1,"",IF(INDEX($L:$L,354)&lt;&gt;"",INDEX($L:$L,354),TRIM(INDEX($D:$D,354)&amp;" "&amp;INDEX($C:$C,354))))</f>
        <v/>
      </c>
      <c r="AQ354" s="43" t="str">
        <f aca="false">IF(OR(AI354="",INDEX($I:$I,354)="Yes"),"",1)</f>
        <v/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customFormat="false" ht="21.75" hidden="false" customHeight="true" outlineLevel="0" collapsed="false">
      <c r="A355" s="1"/>
      <c r="B355" s="113" t="str">
        <f aca="false">IF(AI355="","",COUNT($AI$7:AI355))</f>
        <v/>
      </c>
      <c r="C355" s="114"/>
      <c r="D355" s="114"/>
      <c r="E355" s="114"/>
      <c r="F355" s="114"/>
      <c r="G355" s="115"/>
      <c r="H355" s="115"/>
      <c r="I355" s="115"/>
      <c r="J355" s="115"/>
      <c r="K355" s="115"/>
      <c r="L355" s="114"/>
      <c r="M355" s="114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4"/>
      <c r="Y355" s="114"/>
      <c r="Z355" s="115"/>
      <c r="AA355" s="114"/>
      <c r="AB355" s="114"/>
      <c r="AC355" s="115"/>
      <c r="AD355" s="116"/>
      <c r="AE355" s="114"/>
      <c r="AF355" s="114"/>
      <c r="AG355" s="114"/>
      <c r="AH355" s="1"/>
      <c r="AI355" s="95" t="str">
        <f aca="false">IF(INDEX($C:$C,355)&amp;INDEX($D:$D,355)="","",1)</f>
        <v/>
      </c>
      <c r="AJ355" s="95" t="str">
        <f aca="false">IF(OR(AI355="",INDEX($Z:$Z,355)="",INDEX($U:$U,355)="Declined"),"",1)</f>
        <v/>
      </c>
      <c r="AK355" s="95" t="str">
        <f aca="false">IF(AJ355="","",INDEX($Z:$Z,355)&amp;"-"&amp;COUNTIFS($Z$7:Z355,INDEX($Z:$Z,355),$AJ$7:AJ355,1))</f>
        <v/>
      </c>
      <c r="AL355" s="43" t="str">
        <f aca="false">IF(AI355="","",TRIM(INDEX($D:$D,355)&amp;" "&amp;INDEX($C:$C,355))&amp;IF(INDEX($I:$I,355)="Yes"," (child)",""))</f>
        <v/>
      </c>
      <c r="AM355" s="95" t="str">
        <f aca="false">IF(OR(AI355="",INDEX($X:$X,355)="",INDEX($U:$U,355)="Declined"),"",COUNTIFS($X$7:X355,"?*",$U$7:U355,"&lt;&gt;Declined",$AI$7:AI355,1))</f>
        <v/>
      </c>
      <c r="AN355" s="95" t="str">
        <f aca="false">IF(AI355="","",IF(INDEX($L:$L,355)="",1,IF(COUNTIF($L$7:L355,INDEX($L:$L,355))=1,1,"")))</f>
        <v/>
      </c>
      <c r="AO355" s="95" t="str">
        <f aca="false">IF(AN355&lt;&gt;1,"",IF(INDEX($L:$L,355)="",IF(INDEX($S:$S,355)="Yes",1,""),IF(COUNTIFS($L$7:$L$506,INDEX($L:$L,355),$S$7:$S$506,"Yes")&gt;0,1,"")))</f>
        <v/>
      </c>
      <c r="AP355" s="95" t="str">
        <f aca="false">IF(AN355&lt;&gt;1,"",IF(INDEX($L:$L,355)&lt;&gt;"",INDEX($L:$L,355),TRIM(INDEX($D:$D,355)&amp;" "&amp;INDEX($C:$C,355))))</f>
        <v/>
      </c>
      <c r="AQ355" s="43" t="str">
        <f aca="false">IF(OR(AI355="",INDEX($I:$I,355)="Yes"),"",1)</f>
        <v/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customFormat="false" ht="21.75" hidden="false" customHeight="true" outlineLevel="0" collapsed="false">
      <c r="A356" s="1"/>
      <c r="B356" s="113" t="str">
        <f aca="false">IF(AI356="","",COUNT($AI$7:AI356))</f>
        <v/>
      </c>
      <c r="C356" s="114"/>
      <c r="D356" s="114"/>
      <c r="E356" s="114"/>
      <c r="F356" s="114"/>
      <c r="G356" s="115"/>
      <c r="H356" s="115"/>
      <c r="I356" s="115"/>
      <c r="J356" s="115"/>
      <c r="K356" s="115"/>
      <c r="L356" s="114"/>
      <c r="M356" s="114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4"/>
      <c r="Y356" s="114"/>
      <c r="Z356" s="115"/>
      <c r="AA356" s="114"/>
      <c r="AB356" s="114"/>
      <c r="AC356" s="115"/>
      <c r="AD356" s="116"/>
      <c r="AE356" s="114"/>
      <c r="AF356" s="114"/>
      <c r="AG356" s="114"/>
      <c r="AH356" s="1"/>
      <c r="AI356" s="95" t="str">
        <f aca="false">IF(INDEX($C:$C,356)&amp;INDEX($D:$D,356)="","",1)</f>
        <v/>
      </c>
      <c r="AJ356" s="95" t="str">
        <f aca="false">IF(OR(AI356="",INDEX($Z:$Z,356)="",INDEX($U:$U,356)="Declined"),"",1)</f>
        <v/>
      </c>
      <c r="AK356" s="95" t="str">
        <f aca="false">IF(AJ356="","",INDEX($Z:$Z,356)&amp;"-"&amp;COUNTIFS($Z$7:Z356,INDEX($Z:$Z,356),$AJ$7:AJ356,1))</f>
        <v/>
      </c>
      <c r="AL356" s="43" t="str">
        <f aca="false">IF(AI356="","",TRIM(INDEX($D:$D,356)&amp;" "&amp;INDEX($C:$C,356))&amp;IF(INDEX($I:$I,356)="Yes"," (child)",""))</f>
        <v/>
      </c>
      <c r="AM356" s="95" t="str">
        <f aca="false">IF(OR(AI356="",INDEX($X:$X,356)="",INDEX($U:$U,356)="Declined"),"",COUNTIFS($X$7:X356,"?*",$U$7:U356,"&lt;&gt;Declined",$AI$7:AI356,1))</f>
        <v/>
      </c>
      <c r="AN356" s="95" t="str">
        <f aca="false">IF(AI356="","",IF(INDEX($L:$L,356)="",1,IF(COUNTIF($L$7:L356,INDEX($L:$L,356))=1,1,"")))</f>
        <v/>
      </c>
      <c r="AO356" s="95" t="str">
        <f aca="false">IF(AN356&lt;&gt;1,"",IF(INDEX($L:$L,356)="",IF(INDEX($S:$S,356)="Yes",1,""),IF(COUNTIFS($L$7:$L$506,INDEX($L:$L,356),$S$7:$S$506,"Yes")&gt;0,1,"")))</f>
        <v/>
      </c>
      <c r="AP356" s="95" t="str">
        <f aca="false">IF(AN356&lt;&gt;1,"",IF(INDEX($L:$L,356)&lt;&gt;"",INDEX($L:$L,356),TRIM(INDEX($D:$D,356)&amp;" "&amp;INDEX($C:$C,356))))</f>
        <v/>
      </c>
      <c r="AQ356" s="43" t="str">
        <f aca="false">IF(OR(AI356="",INDEX($I:$I,356)="Yes"),"",1)</f>
        <v/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customFormat="false" ht="21.75" hidden="false" customHeight="true" outlineLevel="0" collapsed="false">
      <c r="A357" s="1"/>
      <c r="B357" s="113" t="str">
        <f aca="false">IF(AI357="","",COUNT($AI$7:AI357))</f>
        <v/>
      </c>
      <c r="C357" s="114"/>
      <c r="D357" s="114"/>
      <c r="E357" s="114"/>
      <c r="F357" s="114"/>
      <c r="G357" s="115"/>
      <c r="H357" s="115"/>
      <c r="I357" s="115"/>
      <c r="J357" s="115"/>
      <c r="K357" s="115"/>
      <c r="L357" s="114"/>
      <c r="M357" s="114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4"/>
      <c r="Y357" s="114"/>
      <c r="Z357" s="115"/>
      <c r="AA357" s="114"/>
      <c r="AB357" s="114"/>
      <c r="AC357" s="115"/>
      <c r="AD357" s="116"/>
      <c r="AE357" s="114"/>
      <c r="AF357" s="114"/>
      <c r="AG357" s="114"/>
      <c r="AH357" s="1"/>
      <c r="AI357" s="95" t="str">
        <f aca="false">IF(INDEX($C:$C,357)&amp;INDEX($D:$D,357)="","",1)</f>
        <v/>
      </c>
      <c r="AJ357" s="95" t="str">
        <f aca="false">IF(OR(AI357="",INDEX($Z:$Z,357)="",INDEX($U:$U,357)="Declined"),"",1)</f>
        <v/>
      </c>
      <c r="AK357" s="95" t="str">
        <f aca="false">IF(AJ357="","",INDEX($Z:$Z,357)&amp;"-"&amp;COUNTIFS($Z$7:Z357,INDEX($Z:$Z,357),$AJ$7:AJ357,1))</f>
        <v/>
      </c>
      <c r="AL357" s="43" t="str">
        <f aca="false">IF(AI357="","",TRIM(INDEX($D:$D,357)&amp;" "&amp;INDEX($C:$C,357))&amp;IF(INDEX($I:$I,357)="Yes"," (child)",""))</f>
        <v/>
      </c>
      <c r="AM357" s="95" t="str">
        <f aca="false">IF(OR(AI357="",INDEX($X:$X,357)="",INDEX($U:$U,357)="Declined"),"",COUNTIFS($X$7:X357,"?*",$U$7:U357,"&lt;&gt;Declined",$AI$7:AI357,1))</f>
        <v/>
      </c>
      <c r="AN357" s="95" t="str">
        <f aca="false">IF(AI357="","",IF(INDEX($L:$L,357)="",1,IF(COUNTIF($L$7:L357,INDEX($L:$L,357))=1,1,"")))</f>
        <v/>
      </c>
      <c r="AO357" s="95" t="str">
        <f aca="false">IF(AN357&lt;&gt;1,"",IF(INDEX($L:$L,357)="",IF(INDEX($S:$S,357)="Yes",1,""),IF(COUNTIFS($L$7:$L$506,INDEX($L:$L,357),$S$7:$S$506,"Yes")&gt;0,1,"")))</f>
        <v/>
      </c>
      <c r="AP357" s="95" t="str">
        <f aca="false">IF(AN357&lt;&gt;1,"",IF(INDEX($L:$L,357)&lt;&gt;"",INDEX($L:$L,357),TRIM(INDEX($D:$D,357)&amp;" "&amp;INDEX($C:$C,357))))</f>
        <v/>
      </c>
      <c r="AQ357" s="43" t="str">
        <f aca="false">IF(OR(AI357="",INDEX($I:$I,357)="Yes"),"",1)</f>
        <v/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customFormat="false" ht="21.75" hidden="false" customHeight="true" outlineLevel="0" collapsed="false">
      <c r="A358" s="1"/>
      <c r="B358" s="113" t="str">
        <f aca="false">IF(AI358="","",COUNT($AI$7:AI358))</f>
        <v/>
      </c>
      <c r="C358" s="114"/>
      <c r="D358" s="114"/>
      <c r="E358" s="114"/>
      <c r="F358" s="114"/>
      <c r="G358" s="115"/>
      <c r="H358" s="115"/>
      <c r="I358" s="115"/>
      <c r="J358" s="115"/>
      <c r="K358" s="115"/>
      <c r="L358" s="114"/>
      <c r="M358" s="114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4"/>
      <c r="Y358" s="114"/>
      <c r="Z358" s="115"/>
      <c r="AA358" s="114"/>
      <c r="AB358" s="114"/>
      <c r="AC358" s="115"/>
      <c r="AD358" s="116"/>
      <c r="AE358" s="114"/>
      <c r="AF358" s="114"/>
      <c r="AG358" s="114"/>
      <c r="AH358" s="1"/>
      <c r="AI358" s="95" t="str">
        <f aca="false">IF(INDEX($C:$C,358)&amp;INDEX($D:$D,358)="","",1)</f>
        <v/>
      </c>
      <c r="AJ358" s="95" t="str">
        <f aca="false">IF(OR(AI358="",INDEX($Z:$Z,358)="",INDEX($U:$U,358)="Declined"),"",1)</f>
        <v/>
      </c>
      <c r="AK358" s="95" t="str">
        <f aca="false">IF(AJ358="","",INDEX($Z:$Z,358)&amp;"-"&amp;COUNTIFS($Z$7:Z358,INDEX($Z:$Z,358),$AJ$7:AJ358,1))</f>
        <v/>
      </c>
      <c r="AL358" s="43" t="str">
        <f aca="false">IF(AI358="","",TRIM(INDEX($D:$D,358)&amp;" "&amp;INDEX($C:$C,358))&amp;IF(INDEX($I:$I,358)="Yes"," (child)",""))</f>
        <v/>
      </c>
      <c r="AM358" s="95" t="str">
        <f aca="false">IF(OR(AI358="",INDEX($X:$X,358)="",INDEX($U:$U,358)="Declined"),"",COUNTIFS($X$7:X358,"?*",$U$7:U358,"&lt;&gt;Declined",$AI$7:AI358,1))</f>
        <v/>
      </c>
      <c r="AN358" s="95" t="str">
        <f aca="false">IF(AI358="","",IF(INDEX($L:$L,358)="",1,IF(COUNTIF($L$7:L358,INDEX($L:$L,358))=1,1,"")))</f>
        <v/>
      </c>
      <c r="AO358" s="95" t="str">
        <f aca="false">IF(AN358&lt;&gt;1,"",IF(INDEX($L:$L,358)="",IF(INDEX($S:$S,358)="Yes",1,""),IF(COUNTIFS($L$7:$L$506,INDEX($L:$L,358),$S$7:$S$506,"Yes")&gt;0,1,"")))</f>
        <v/>
      </c>
      <c r="AP358" s="95" t="str">
        <f aca="false">IF(AN358&lt;&gt;1,"",IF(INDEX($L:$L,358)&lt;&gt;"",INDEX($L:$L,358),TRIM(INDEX($D:$D,358)&amp;" "&amp;INDEX($C:$C,358))))</f>
        <v/>
      </c>
      <c r="AQ358" s="43" t="str">
        <f aca="false">IF(OR(AI358="",INDEX($I:$I,358)="Yes"),"",1)</f>
        <v/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customFormat="false" ht="21.75" hidden="false" customHeight="true" outlineLevel="0" collapsed="false">
      <c r="A359" s="1"/>
      <c r="B359" s="113" t="str">
        <f aca="false">IF(AI359="","",COUNT($AI$7:AI359))</f>
        <v/>
      </c>
      <c r="C359" s="114"/>
      <c r="D359" s="114"/>
      <c r="E359" s="114"/>
      <c r="F359" s="114"/>
      <c r="G359" s="115"/>
      <c r="H359" s="115"/>
      <c r="I359" s="115"/>
      <c r="J359" s="115"/>
      <c r="K359" s="115"/>
      <c r="L359" s="114"/>
      <c r="M359" s="114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4"/>
      <c r="Y359" s="114"/>
      <c r="Z359" s="115"/>
      <c r="AA359" s="114"/>
      <c r="AB359" s="114"/>
      <c r="AC359" s="115"/>
      <c r="AD359" s="116"/>
      <c r="AE359" s="114"/>
      <c r="AF359" s="114"/>
      <c r="AG359" s="114"/>
      <c r="AH359" s="1"/>
      <c r="AI359" s="95" t="str">
        <f aca="false">IF(INDEX($C:$C,359)&amp;INDEX($D:$D,359)="","",1)</f>
        <v/>
      </c>
      <c r="AJ359" s="95" t="str">
        <f aca="false">IF(OR(AI359="",INDEX($Z:$Z,359)="",INDEX($U:$U,359)="Declined"),"",1)</f>
        <v/>
      </c>
      <c r="AK359" s="95" t="str">
        <f aca="false">IF(AJ359="","",INDEX($Z:$Z,359)&amp;"-"&amp;COUNTIFS($Z$7:Z359,INDEX($Z:$Z,359),$AJ$7:AJ359,1))</f>
        <v/>
      </c>
      <c r="AL359" s="43" t="str">
        <f aca="false">IF(AI359="","",TRIM(INDEX($D:$D,359)&amp;" "&amp;INDEX($C:$C,359))&amp;IF(INDEX($I:$I,359)="Yes"," (child)",""))</f>
        <v/>
      </c>
      <c r="AM359" s="95" t="str">
        <f aca="false">IF(OR(AI359="",INDEX($X:$X,359)="",INDEX($U:$U,359)="Declined"),"",COUNTIFS($X$7:X359,"?*",$U$7:U359,"&lt;&gt;Declined",$AI$7:AI359,1))</f>
        <v/>
      </c>
      <c r="AN359" s="95" t="str">
        <f aca="false">IF(AI359="","",IF(INDEX($L:$L,359)="",1,IF(COUNTIF($L$7:L359,INDEX($L:$L,359))=1,1,"")))</f>
        <v/>
      </c>
      <c r="AO359" s="95" t="str">
        <f aca="false">IF(AN359&lt;&gt;1,"",IF(INDEX($L:$L,359)="",IF(INDEX($S:$S,359)="Yes",1,""),IF(COUNTIFS($L$7:$L$506,INDEX($L:$L,359),$S$7:$S$506,"Yes")&gt;0,1,"")))</f>
        <v/>
      </c>
      <c r="AP359" s="95" t="str">
        <f aca="false">IF(AN359&lt;&gt;1,"",IF(INDEX($L:$L,359)&lt;&gt;"",INDEX($L:$L,359),TRIM(INDEX($D:$D,359)&amp;" "&amp;INDEX($C:$C,359))))</f>
        <v/>
      </c>
      <c r="AQ359" s="43" t="str">
        <f aca="false">IF(OR(AI359="",INDEX($I:$I,359)="Yes"),"",1)</f>
        <v/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customFormat="false" ht="21.75" hidden="false" customHeight="true" outlineLevel="0" collapsed="false">
      <c r="A360" s="1"/>
      <c r="B360" s="113" t="str">
        <f aca="false">IF(AI360="","",COUNT($AI$7:AI360))</f>
        <v/>
      </c>
      <c r="C360" s="114"/>
      <c r="D360" s="114"/>
      <c r="E360" s="114"/>
      <c r="F360" s="114"/>
      <c r="G360" s="115"/>
      <c r="H360" s="115"/>
      <c r="I360" s="115"/>
      <c r="J360" s="115"/>
      <c r="K360" s="115"/>
      <c r="L360" s="114"/>
      <c r="M360" s="114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4"/>
      <c r="Y360" s="114"/>
      <c r="Z360" s="115"/>
      <c r="AA360" s="114"/>
      <c r="AB360" s="114"/>
      <c r="AC360" s="115"/>
      <c r="AD360" s="116"/>
      <c r="AE360" s="114"/>
      <c r="AF360" s="114"/>
      <c r="AG360" s="114"/>
      <c r="AH360" s="1"/>
      <c r="AI360" s="95" t="str">
        <f aca="false">IF(INDEX($C:$C,360)&amp;INDEX($D:$D,360)="","",1)</f>
        <v/>
      </c>
      <c r="AJ360" s="95" t="str">
        <f aca="false">IF(OR(AI360="",INDEX($Z:$Z,360)="",INDEX($U:$U,360)="Declined"),"",1)</f>
        <v/>
      </c>
      <c r="AK360" s="95" t="str">
        <f aca="false">IF(AJ360="","",INDEX($Z:$Z,360)&amp;"-"&amp;COUNTIFS($Z$7:Z360,INDEX($Z:$Z,360),$AJ$7:AJ360,1))</f>
        <v/>
      </c>
      <c r="AL360" s="43" t="str">
        <f aca="false">IF(AI360="","",TRIM(INDEX($D:$D,360)&amp;" "&amp;INDEX($C:$C,360))&amp;IF(INDEX($I:$I,360)="Yes"," (child)",""))</f>
        <v/>
      </c>
      <c r="AM360" s="95" t="str">
        <f aca="false">IF(OR(AI360="",INDEX($X:$X,360)="",INDEX($U:$U,360)="Declined"),"",COUNTIFS($X$7:X360,"?*",$U$7:U360,"&lt;&gt;Declined",$AI$7:AI360,1))</f>
        <v/>
      </c>
      <c r="AN360" s="95" t="str">
        <f aca="false">IF(AI360="","",IF(INDEX($L:$L,360)="",1,IF(COUNTIF($L$7:L360,INDEX($L:$L,360))=1,1,"")))</f>
        <v/>
      </c>
      <c r="AO360" s="95" t="str">
        <f aca="false">IF(AN360&lt;&gt;1,"",IF(INDEX($L:$L,360)="",IF(INDEX($S:$S,360)="Yes",1,""),IF(COUNTIFS($L$7:$L$506,INDEX($L:$L,360),$S$7:$S$506,"Yes")&gt;0,1,"")))</f>
        <v/>
      </c>
      <c r="AP360" s="95" t="str">
        <f aca="false">IF(AN360&lt;&gt;1,"",IF(INDEX($L:$L,360)&lt;&gt;"",INDEX($L:$L,360),TRIM(INDEX($D:$D,360)&amp;" "&amp;INDEX($C:$C,360))))</f>
        <v/>
      </c>
      <c r="AQ360" s="43" t="str">
        <f aca="false">IF(OR(AI360="",INDEX($I:$I,360)="Yes"),"",1)</f>
        <v/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customFormat="false" ht="21.75" hidden="false" customHeight="true" outlineLevel="0" collapsed="false">
      <c r="A361" s="1"/>
      <c r="B361" s="113" t="str">
        <f aca="false">IF(AI361="","",COUNT($AI$7:AI361))</f>
        <v/>
      </c>
      <c r="C361" s="114"/>
      <c r="D361" s="114"/>
      <c r="E361" s="114"/>
      <c r="F361" s="114"/>
      <c r="G361" s="115"/>
      <c r="H361" s="115"/>
      <c r="I361" s="115"/>
      <c r="J361" s="115"/>
      <c r="K361" s="115"/>
      <c r="L361" s="114"/>
      <c r="M361" s="114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4"/>
      <c r="Y361" s="114"/>
      <c r="Z361" s="115"/>
      <c r="AA361" s="114"/>
      <c r="AB361" s="114"/>
      <c r="AC361" s="115"/>
      <c r="AD361" s="116"/>
      <c r="AE361" s="114"/>
      <c r="AF361" s="114"/>
      <c r="AG361" s="114"/>
      <c r="AH361" s="1"/>
      <c r="AI361" s="95" t="str">
        <f aca="false">IF(INDEX($C:$C,361)&amp;INDEX($D:$D,361)="","",1)</f>
        <v/>
      </c>
      <c r="AJ361" s="95" t="str">
        <f aca="false">IF(OR(AI361="",INDEX($Z:$Z,361)="",INDEX($U:$U,361)="Declined"),"",1)</f>
        <v/>
      </c>
      <c r="AK361" s="95" t="str">
        <f aca="false">IF(AJ361="","",INDEX($Z:$Z,361)&amp;"-"&amp;COUNTIFS($Z$7:Z361,INDEX($Z:$Z,361),$AJ$7:AJ361,1))</f>
        <v/>
      </c>
      <c r="AL361" s="43" t="str">
        <f aca="false">IF(AI361="","",TRIM(INDEX($D:$D,361)&amp;" "&amp;INDEX($C:$C,361))&amp;IF(INDEX($I:$I,361)="Yes"," (child)",""))</f>
        <v/>
      </c>
      <c r="AM361" s="95" t="str">
        <f aca="false">IF(OR(AI361="",INDEX($X:$X,361)="",INDEX($U:$U,361)="Declined"),"",COUNTIFS($X$7:X361,"?*",$U$7:U361,"&lt;&gt;Declined",$AI$7:AI361,1))</f>
        <v/>
      </c>
      <c r="AN361" s="95" t="str">
        <f aca="false">IF(AI361="","",IF(INDEX($L:$L,361)="",1,IF(COUNTIF($L$7:L361,INDEX($L:$L,361))=1,1,"")))</f>
        <v/>
      </c>
      <c r="AO361" s="95" t="str">
        <f aca="false">IF(AN361&lt;&gt;1,"",IF(INDEX($L:$L,361)="",IF(INDEX($S:$S,361)="Yes",1,""),IF(COUNTIFS($L$7:$L$506,INDEX($L:$L,361),$S$7:$S$506,"Yes")&gt;0,1,"")))</f>
        <v/>
      </c>
      <c r="AP361" s="95" t="str">
        <f aca="false">IF(AN361&lt;&gt;1,"",IF(INDEX($L:$L,361)&lt;&gt;"",INDEX($L:$L,361),TRIM(INDEX($D:$D,361)&amp;" "&amp;INDEX($C:$C,361))))</f>
        <v/>
      </c>
      <c r="AQ361" s="43" t="str">
        <f aca="false">IF(OR(AI361="",INDEX($I:$I,361)="Yes"),"",1)</f>
        <v/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customFormat="false" ht="21.75" hidden="false" customHeight="true" outlineLevel="0" collapsed="false">
      <c r="A362" s="1"/>
      <c r="B362" s="113" t="str">
        <f aca="false">IF(AI362="","",COUNT($AI$7:AI362))</f>
        <v/>
      </c>
      <c r="C362" s="114"/>
      <c r="D362" s="114"/>
      <c r="E362" s="114"/>
      <c r="F362" s="114"/>
      <c r="G362" s="115"/>
      <c r="H362" s="115"/>
      <c r="I362" s="115"/>
      <c r="J362" s="115"/>
      <c r="K362" s="115"/>
      <c r="L362" s="114"/>
      <c r="M362" s="114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4"/>
      <c r="Y362" s="114"/>
      <c r="Z362" s="115"/>
      <c r="AA362" s="114"/>
      <c r="AB362" s="114"/>
      <c r="AC362" s="115"/>
      <c r="AD362" s="116"/>
      <c r="AE362" s="114"/>
      <c r="AF362" s="114"/>
      <c r="AG362" s="114"/>
      <c r="AH362" s="1"/>
      <c r="AI362" s="95" t="str">
        <f aca="false">IF(INDEX($C:$C,362)&amp;INDEX($D:$D,362)="","",1)</f>
        <v/>
      </c>
      <c r="AJ362" s="95" t="str">
        <f aca="false">IF(OR(AI362="",INDEX($Z:$Z,362)="",INDEX($U:$U,362)="Declined"),"",1)</f>
        <v/>
      </c>
      <c r="AK362" s="95" t="str">
        <f aca="false">IF(AJ362="","",INDEX($Z:$Z,362)&amp;"-"&amp;COUNTIFS($Z$7:Z362,INDEX($Z:$Z,362),$AJ$7:AJ362,1))</f>
        <v/>
      </c>
      <c r="AL362" s="43" t="str">
        <f aca="false">IF(AI362="","",TRIM(INDEX($D:$D,362)&amp;" "&amp;INDEX($C:$C,362))&amp;IF(INDEX($I:$I,362)="Yes"," (child)",""))</f>
        <v/>
      </c>
      <c r="AM362" s="95" t="str">
        <f aca="false">IF(OR(AI362="",INDEX($X:$X,362)="",INDEX($U:$U,362)="Declined"),"",COUNTIFS($X$7:X362,"?*",$U$7:U362,"&lt;&gt;Declined",$AI$7:AI362,1))</f>
        <v/>
      </c>
      <c r="AN362" s="95" t="str">
        <f aca="false">IF(AI362="","",IF(INDEX($L:$L,362)="",1,IF(COUNTIF($L$7:L362,INDEX($L:$L,362))=1,1,"")))</f>
        <v/>
      </c>
      <c r="AO362" s="95" t="str">
        <f aca="false">IF(AN362&lt;&gt;1,"",IF(INDEX($L:$L,362)="",IF(INDEX($S:$S,362)="Yes",1,""),IF(COUNTIFS($L$7:$L$506,INDEX($L:$L,362),$S$7:$S$506,"Yes")&gt;0,1,"")))</f>
        <v/>
      </c>
      <c r="AP362" s="95" t="str">
        <f aca="false">IF(AN362&lt;&gt;1,"",IF(INDEX($L:$L,362)&lt;&gt;"",INDEX($L:$L,362),TRIM(INDEX($D:$D,362)&amp;" "&amp;INDEX($C:$C,362))))</f>
        <v/>
      </c>
      <c r="AQ362" s="43" t="str">
        <f aca="false">IF(OR(AI362="",INDEX($I:$I,362)="Yes"),"",1)</f>
        <v/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customFormat="false" ht="21.75" hidden="false" customHeight="true" outlineLevel="0" collapsed="false">
      <c r="A363" s="1"/>
      <c r="B363" s="113" t="str">
        <f aca="false">IF(AI363="","",COUNT($AI$7:AI363))</f>
        <v/>
      </c>
      <c r="C363" s="114"/>
      <c r="D363" s="114"/>
      <c r="E363" s="114"/>
      <c r="F363" s="114"/>
      <c r="G363" s="115"/>
      <c r="H363" s="115"/>
      <c r="I363" s="115"/>
      <c r="J363" s="115"/>
      <c r="K363" s="115"/>
      <c r="L363" s="114"/>
      <c r="M363" s="114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4"/>
      <c r="Y363" s="114"/>
      <c r="Z363" s="115"/>
      <c r="AA363" s="114"/>
      <c r="AB363" s="114"/>
      <c r="AC363" s="115"/>
      <c r="AD363" s="116"/>
      <c r="AE363" s="114"/>
      <c r="AF363" s="114"/>
      <c r="AG363" s="114"/>
      <c r="AH363" s="1"/>
      <c r="AI363" s="95" t="str">
        <f aca="false">IF(INDEX($C:$C,363)&amp;INDEX($D:$D,363)="","",1)</f>
        <v/>
      </c>
      <c r="AJ363" s="95" t="str">
        <f aca="false">IF(OR(AI363="",INDEX($Z:$Z,363)="",INDEX($U:$U,363)="Declined"),"",1)</f>
        <v/>
      </c>
      <c r="AK363" s="95" t="str">
        <f aca="false">IF(AJ363="","",INDEX($Z:$Z,363)&amp;"-"&amp;COUNTIFS($Z$7:Z363,INDEX($Z:$Z,363),$AJ$7:AJ363,1))</f>
        <v/>
      </c>
      <c r="AL363" s="43" t="str">
        <f aca="false">IF(AI363="","",TRIM(INDEX($D:$D,363)&amp;" "&amp;INDEX($C:$C,363))&amp;IF(INDEX($I:$I,363)="Yes"," (child)",""))</f>
        <v/>
      </c>
      <c r="AM363" s="95" t="str">
        <f aca="false">IF(OR(AI363="",INDEX($X:$X,363)="",INDEX($U:$U,363)="Declined"),"",COUNTIFS($X$7:X363,"?*",$U$7:U363,"&lt;&gt;Declined",$AI$7:AI363,1))</f>
        <v/>
      </c>
      <c r="AN363" s="95" t="str">
        <f aca="false">IF(AI363="","",IF(INDEX($L:$L,363)="",1,IF(COUNTIF($L$7:L363,INDEX($L:$L,363))=1,1,"")))</f>
        <v/>
      </c>
      <c r="AO363" s="95" t="str">
        <f aca="false">IF(AN363&lt;&gt;1,"",IF(INDEX($L:$L,363)="",IF(INDEX($S:$S,363)="Yes",1,""),IF(COUNTIFS($L$7:$L$506,INDEX($L:$L,363),$S$7:$S$506,"Yes")&gt;0,1,"")))</f>
        <v/>
      </c>
      <c r="AP363" s="95" t="str">
        <f aca="false">IF(AN363&lt;&gt;1,"",IF(INDEX($L:$L,363)&lt;&gt;"",INDEX($L:$L,363),TRIM(INDEX($D:$D,363)&amp;" "&amp;INDEX($C:$C,363))))</f>
        <v/>
      </c>
      <c r="AQ363" s="43" t="str">
        <f aca="false">IF(OR(AI363="",INDEX($I:$I,363)="Yes"),"",1)</f>
        <v/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customFormat="false" ht="21.75" hidden="false" customHeight="true" outlineLevel="0" collapsed="false">
      <c r="A364" s="1"/>
      <c r="B364" s="113" t="str">
        <f aca="false">IF(AI364="","",COUNT($AI$7:AI364))</f>
        <v/>
      </c>
      <c r="C364" s="114"/>
      <c r="D364" s="114"/>
      <c r="E364" s="114"/>
      <c r="F364" s="114"/>
      <c r="G364" s="115"/>
      <c r="H364" s="115"/>
      <c r="I364" s="115"/>
      <c r="J364" s="115"/>
      <c r="K364" s="115"/>
      <c r="L364" s="114"/>
      <c r="M364" s="114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4"/>
      <c r="Y364" s="114"/>
      <c r="Z364" s="115"/>
      <c r="AA364" s="114"/>
      <c r="AB364" s="114"/>
      <c r="AC364" s="115"/>
      <c r="AD364" s="116"/>
      <c r="AE364" s="114"/>
      <c r="AF364" s="114"/>
      <c r="AG364" s="114"/>
      <c r="AH364" s="1"/>
      <c r="AI364" s="95" t="str">
        <f aca="false">IF(INDEX($C:$C,364)&amp;INDEX($D:$D,364)="","",1)</f>
        <v/>
      </c>
      <c r="AJ364" s="95" t="str">
        <f aca="false">IF(OR(AI364="",INDEX($Z:$Z,364)="",INDEX($U:$U,364)="Declined"),"",1)</f>
        <v/>
      </c>
      <c r="AK364" s="95" t="str">
        <f aca="false">IF(AJ364="","",INDEX($Z:$Z,364)&amp;"-"&amp;COUNTIFS($Z$7:Z364,INDEX($Z:$Z,364),$AJ$7:AJ364,1))</f>
        <v/>
      </c>
      <c r="AL364" s="43" t="str">
        <f aca="false">IF(AI364="","",TRIM(INDEX($D:$D,364)&amp;" "&amp;INDEX($C:$C,364))&amp;IF(INDEX($I:$I,364)="Yes"," (child)",""))</f>
        <v/>
      </c>
      <c r="AM364" s="95" t="str">
        <f aca="false">IF(OR(AI364="",INDEX($X:$X,364)="",INDEX($U:$U,364)="Declined"),"",COUNTIFS($X$7:X364,"?*",$U$7:U364,"&lt;&gt;Declined",$AI$7:AI364,1))</f>
        <v/>
      </c>
      <c r="AN364" s="95" t="str">
        <f aca="false">IF(AI364="","",IF(INDEX($L:$L,364)="",1,IF(COUNTIF($L$7:L364,INDEX($L:$L,364))=1,1,"")))</f>
        <v/>
      </c>
      <c r="AO364" s="95" t="str">
        <f aca="false">IF(AN364&lt;&gt;1,"",IF(INDEX($L:$L,364)="",IF(INDEX($S:$S,364)="Yes",1,""),IF(COUNTIFS($L$7:$L$506,INDEX($L:$L,364),$S$7:$S$506,"Yes")&gt;0,1,"")))</f>
        <v/>
      </c>
      <c r="AP364" s="95" t="str">
        <f aca="false">IF(AN364&lt;&gt;1,"",IF(INDEX($L:$L,364)&lt;&gt;"",INDEX($L:$L,364),TRIM(INDEX($D:$D,364)&amp;" "&amp;INDEX($C:$C,364))))</f>
        <v/>
      </c>
      <c r="AQ364" s="43" t="str">
        <f aca="false">IF(OR(AI364="",INDEX($I:$I,364)="Yes"),"",1)</f>
        <v/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customFormat="false" ht="21.75" hidden="false" customHeight="true" outlineLevel="0" collapsed="false">
      <c r="A365" s="1"/>
      <c r="B365" s="113" t="str">
        <f aca="false">IF(AI365="","",COUNT($AI$7:AI365))</f>
        <v/>
      </c>
      <c r="C365" s="114"/>
      <c r="D365" s="114"/>
      <c r="E365" s="114"/>
      <c r="F365" s="114"/>
      <c r="G365" s="115"/>
      <c r="H365" s="115"/>
      <c r="I365" s="115"/>
      <c r="J365" s="115"/>
      <c r="K365" s="115"/>
      <c r="L365" s="114"/>
      <c r="M365" s="114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4"/>
      <c r="Y365" s="114"/>
      <c r="Z365" s="115"/>
      <c r="AA365" s="114"/>
      <c r="AB365" s="114"/>
      <c r="AC365" s="115"/>
      <c r="AD365" s="116"/>
      <c r="AE365" s="114"/>
      <c r="AF365" s="114"/>
      <c r="AG365" s="114"/>
      <c r="AH365" s="1"/>
      <c r="AI365" s="95" t="str">
        <f aca="false">IF(INDEX($C:$C,365)&amp;INDEX($D:$D,365)="","",1)</f>
        <v/>
      </c>
      <c r="AJ365" s="95" t="str">
        <f aca="false">IF(OR(AI365="",INDEX($Z:$Z,365)="",INDEX($U:$U,365)="Declined"),"",1)</f>
        <v/>
      </c>
      <c r="AK365" s="95" t="str">
        <f aca="false">IF(AJ365="","",INDEX($Z:$Z,365)&amp;"-"&amp;COUNTIFS($Z$7:Z365,INDEX($Z:$Z,365),$AJ$7:AJ365,1))</f>
        <v/>
      </c>
      <c r="AL365" s="43" t="str">
        <f aca="false">IF(AI365="","",TRIM(INDEX($D:$D,365)&amp;" "&amp;INDEX($C:$C,365))&amp;IF(INDEX($I:$I,365)="Yes"," (child)",""))</f>
        <v/>
      </c>
      <c r="AM365" s="95" t="str">
        <f aca="false">IF(OR(AI365="",INDEX($X:$X,365)="",INDEX($U:$U,365)="Declined"),"",COUNTIFS($X$7:X365,"?*",$U$7:U365,"&lt;&gt;Declined",$AI$7:AI365,1))</f>
        <v/>
      </c>
      <c r="AN365" s="95" t="str">
        <f aca="false">IF(AI365="","",IF(INDEX($L:$L,365)="",1,IF(COUNTIF($L$7:L365,INDEX($L:$L,365))=1,1,"")))</f>
        <v/>
      </c>
      <c r="AO365" s="95" t="str">
        <f aca="false">IF(AN365&lt;&gt;1,"",IF(INDEX($L:$L,365)="",IF(INDEX($S:$S,365)="Yes",1,""),IF(COUNTIFS($L$7:$L$506,INDEX($L:$L,365),$S$7:$S$506,"Yes")&gt;0,1,"")))</f>
        <v/>
      </c>
      <c r="AP365" s="95" t="str">
        <f aca="false">IF(AN365&lt;&gt;1,"",IF(INDEX($L:$L,365)&lt;&gt;"",INDEX($L:$L,365),TRIM(INDEX($D:$D,365)&amp;" "&amp;INDEX($C:$C,365))))</f>
        <v/>
      </c>
      <c r="AQ365" s="43" t="str">
        <f aca="false">IF(OR(AI365="",INDEX($I:$I,365)="Yes"),"",1)</f>
        <v/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customFormat="false" ht="21.75" hidden="false" customHeight="true" outlineLevel="0" collapsed="false">
      <c r="A366" s="1"/>
      <c r="B366" s="113" t="str">
        <f aca="false">IF(AI366="","",COUNT($AI$7:AI366))</f>
        <v/>
      </c>
      <c r="C366" s="114"/>
      <c r="D366" s="114"/>
      <c r="E366" s="114"/>
      <c r="F366" s="114"/>
      <c r="G366" s="115"/>
      <c r="H366" s="115"/>
      <c r="I366" s="115"/>
      <c r="J366" s="115"/>
      <c r="K366" s="115"/>
      <c r="L366" s="114"/>
      <c r="M366" s="114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4"/>
      <c r="Y366" s="114"/>
      <c r="Z366" s="115"/>
      <c r="AA366" s="114"/>
      <c r="AB366" s="114"/>
      <c r="AC366" s="115"/>
      <c r="AD366" s="116"/>
      <c r="AE366" s="114"/>
      <c r="AF366" s="114"/>
      <c r="AG366" s="114"/>
      <c r="AH366" s="1"/>
      <c r="AI366" s="95" t="str">
        <f aca="false">IF(INDEX($C:$C,366)&amp;INDEX($D:$D,366)="","",1)</f>
        <v/>
      </c>
      <c r="AJ366" s="95" t="str">
        <f aca="false">IF(OR(AI366="",INDEX($Z:$Z,366)="",INDEX($U:$U,366)="Declined"),"",1)</f>
        <v/>
      </c>
      <c r="AK366" s="95" t="str">
        <f aca="false">IF(AJ366="","",INDEX($Z:$Z,366)&amp;"-"&amp;COUNTIFS($Z$7:Z366,INDEX($Z:$Z,366),$AJ$7:AJ366,1))</f>
        <v/>
      </c>
      <c r="AL366" s="43" t="str">
        <f aca="false">IF(AI366="","",TRIM(INDEX($D:$D,366)&amp;" "&amp;INDEX($C:$C,366))&amp;IF(INDEX($I:$I,366)="Yes"," (child)",""))</f>
        <v/>
      </c>
      <c r="AM366" s="95" t="str">
        <f aca="false">IF(OR(AI366="",INDEX($X:$X,366)="",INDEX($U:$U,366)="Declined"),"",COUNTIFS($X$7:X366,"?*",$U$7:U366,"&lt;&gt;Declined",$AI$7:AI366,1))</f>
        <v/>
      </c>
      <c r="AN366" s="95" t="str">
        <f aca="false">IF(AI366="","",IF(INDEX($L:$L,366)="",1,IF(COUNTIF($L$7:L366,INDEX($L:$L,366))=1,1,"")))</f>
        <v/>
      </c>
      <c r="AO366" s="95" t="str">
        <f aca="false">IF(AN366&lt;&gt;1,"",IF(INDEX($L:$L,366)="",IF(INDEX($S:$S,366)="Yes",1,""),IF(COUNTIFS($L$7:$L$506,INDEX($L:$L,366),$S$7:$S$506,"Yes")&gt;0,1,"")))</f>
        <v/>
      </c>
      <c r="AP366" s="95" t="str">
        <f aca="false">IF(AN366&lt;&gt;1,"",IF(INDEX($L:$L,366)&lt;&gt;"",INDEX($L:$L,366),TRIM(INDEX($D:$D,366)&amp;" "&amp;INDEX($C:$C,366))))</f>
        <v/>
      </c>
      <c r="AQ366" s="43" t="str">
        <f aca="false">IF(OR(AI366="",INDEX($I:$I,366)="Yes"),"",1)</f>
        <v/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customFormat="false" ht="21.75" hidden="false" customHeight="true" outlineLevel="0" collapsed="false">
      <c r="A367" s="1"/>
      <c r="B367" s="113" t="str">
        <f aca="false">IF(AI367="","",COUNT($AI$7:AI367))</f>
        <v/>
      </c>
      <c r="C367" s="114"/>
      <c r="D367" s="114"/>
      <c r="E367" s="114"/>
      <c r="F367" s="114"/>
      <c r="G367" s="115"/>
      <c r="H367" s="115"/>
      <c r="I367" s="115"/>
      <c r="J367" s="115"/>
      <c r="K367" s="115"/>
      <c r="L367" s="114"/>
      <c r="M367" s="114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4"/>
      <c r="Y367" s="114"/>
      <c r="Z367" s="115"/>
      <c r="AA367" s="114"/>
      <c r="AB367" s="114"/>
      <c r="AC367" s="115"/>
      <c r="AD367" s="116"/>
      <c r="AE367" s="114"/>
      <c r="AF367" s="114"/>
      <c r="AG367" s="114"/>
      <c r="AH367" s="1"/>
      <c r="AI367" s="95" t="str">
        <f aca="false">IF(INDEX($C:$C,367)&amp;INDEX($D:$D,367)="","",1)</f>
        <v/>
      </c>
      <c r="AJ367" s="95" t="str">
        <f aca="false">IF(OR(AI367="",INDEX($Z:$Z,367)="",INDEX($U:$U,367)="Declined"),"",1)</f>
        <v/>
      </c>
      <c r="AK367" s="95" t="str">
        <f aca="false">IF(AJ367="","",INDEX($Z:$Z,367)&amp;"-"&amp;COUNTIFS($Z$7:Z367,INDEX($Z:$Z,367),$AJ$7:AJ367,1))</f>
        <v/>
      </c>
      <c r="AL367" s="43" t="str">
        <f aca="false">IF(AI367="","",TRIM(INDEX($D:$D,367)&amp;" "&amp;INDEX($C:$C,367))&amp;IF(INDEX($I:$I,367)="Yes"," (child)",""))</f>
        <v/>
      </c>
      <c r="AM367" s="95" t="str">
        <f aca="false">IF(OR(AI367="",INDEX($X:$X,367)="",INDEX($U:$U,367)="Declined"),"",COUNTIFS($X$7:X367,"?*",$U$7:U367,"&lt;&gt;Declined",$AI$7:AI367,1))</f>
        <v/>
      </c>
      <c r="AN367" s="95" t="str">
        <f aca="false">IF(AI367="","",IF(INDEX($L:$L,367)="",1,IF(COUNTIF($L$7:L367,INDEX($L:$L,367))=1,1,"")))</f>
        <v/>
      </c>
      <c r="AO367" s="95" t="str">
        <f aca="false">IF(AN367&lt;&gt;1,"",IF(INDEX($L:$L,367)="",IF(INDEX($S:$S,367)="Yes",1,""),IF(COUNTIFS($L$7:$L$506,INDEX($L:$L,367),$S$7:$S$506,"Yes")&gt;0,1,"")))</f>
        <v/>
      </c>
      <c r="AP367" s="95" t="str">
        <f aca="false">IF(AN367&lt;&gt;1,"",IF(INDEX($L:$L,367)&lt;&gt;"",INDEX($L:$L,367),TRIM(INDEX($D:$D,367)&amp;" "&amp;INDEX($C:$C,367))))</f>
        <v/>
      </c>
      <c r="AQ367" s="43" t="str">
        <f aca="false">IF(OR(AI367="",INDEX($I:$I,367)="Yes"),"",1)</f>
        <v/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customFormat="false" ht="21.75" hidden="false" customHeight="true" outlineLevel="0" collapsed="false">
      <c r="A368" s="1"/>
      <c r="B368" s="113" t="str">
        <f aca="false">IF(AI368="","",COUNT($AI$7:AI368))</f>
        <v/>
      </c>
      <c r="C368" s="114"/>
      <c r="D368" s="114"/>
      <c r="E368" s="114"/>
      <c r="F368" s="114"/>
      <c r="G368" s="115"/>
      <c r="H368" s="115"/>
      <c r="I368" s="115"/>
      <c r="J368" s="115"/>
      <c r="K368" s="115"/>
      <c r="L368" s="114"/>
      <c r="M368" s="114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4"/>
      <c r="Y368" s="114"/>
      <c r="Z368" s="115"/>
      <c r="AA368" s="114"/>
      <c r="AB368" s="114"/>
      <c r="AC368" s="115"/>
      <c r="AD368" s="116"/>
      <c r="AE368" s="114"/>
      <c r="AF368" s="114"/>
      <c r="AG368" s="114"/>
      <c r="AH368" s="1"/>
      <c r="AI368" s="95" t="str">
        <f aca="false">IF(INDEX($C:$C,368)&amp;INDEX($D:$D,368)="","",1)</f>
        <v/>
      </c>
      <c r="AJ368" s="95" t="str">
        <f aca="false">IF(OR(AI368="",INDEX($Z:$Z,368)="",INDEX($U:$U,368)="Declined"),"",1)</f>
        <v/>
      </c>
      <c r="AK368" s="95" t="str">
        <f aca="false">IF(AJ368="","",INDEX($Z:$Z,368)&amp;"-"&amp;COUNTIFS($Z$7:Z368,INDEX($Z:$Z,368),$AJ$7:AJ368,1))</f>
        <v/>
      </c>
      <c r="AL368" s="43" t="str">
        <f aca="false">IF(AI368="","",TRIM(INDEX($D:$D,368)&amp;" "&amp;INDEX($C:$C,368))&amp;IF(INDEX($I:$I,368)="Yes"," (child)",""))</f>
        <v/>
      </c>
      <c r="AM368" s="95" t="str">
        <f aca="false">IF(OR(AI368="",INDEX($X:$X,368)="",INDEX($U:$U,368)="Declined"),"",COUNTIFS($X$7:X368,"?*",$U$7:U368,"&lt;&gt;Declined",$AI$7:AI368,1))</f>
        <v/>
      </c>
      <c r="AN368" s="95" t="str">
        <f aca="false">IF(AI368="","",IF(INDEX($L:$L,368)="",1,IF(COUNTIF($L$7:L368,INDEX($L:$L,368))=1,1,"")))</f>
        <v/>
      </c>
      <c r="AO368" s="95" t="str">
        <f aca="false">IF(AN368&lt;&gt;1,"",IF(INDEX($L:$L,368)="",IF(INDEX($S:$S,368)="Yes",1,""),IF(COUNTIFS($L$7:$L$506,INDEX($L:$L,368),$S$7:$S$506,"Yes")&gt;0,1,"")))</f>
        <v/>
      </c>
      <c r="AP368" s="95" t="str">
        <f aca="false">IF(AN368&lt;&gt;1,"",IF(INDEX($L:$L,368)&lt;&gt;"",INDEX($L:$L,368),TRIM(INDEX($D:$D,368)&amp;" "&amp;INDEX($C:$C,368))))</f>
        <v/>
      </c>
      <c r="AQ368" s="43" t="str">
        <f aca="false">IF(OR(AI368="",INDEX($I:$I,368)="Yes"),"",1)</f>
        <v/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customFormat="false" ht="21.75" hidden="false" customHeight="true" outlineLevel="0" collapsed="false">
      <c r="A369" s="1"/>
      <c r="B369" s="113" t="str">
        <f aca="false">IF(AI369="","",COUNT($AI$7:AI369))</f>
        <v/>
      </c>
      <c r="C369" s="114"/>
      <c r="D369" s="114"/>
      <c r="E369" s="114"/>
      <c r="F369" s="114"/>
      <c r="G369" s="115"/>
      <c r="H369" s="115"/>
      <c r="I369" s="115"/>
      <c r="J369" s="115"/>
      <c r="K369" s="115"/>
      <c r="L369" s="114"/>
      <c r="M369" s="114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4"/>
      <c r="Y369" s="114"/>
      <c r="Z369" s="115"/>
      <c r="AA369" s="114"/>
      <c r="AB369" s="114"/>
      <c r="AC369" s="115"/>
      <c r="AD369" s="116"/>
      <c r="AE369" s="114"/>
      <c r="AF369" s="114"/>
      <c r="AG369" s="114"/>
      <c r="AH369" s="1"/>
      <c r="AI369" s="95" t="str">
        <f aca="false">IF(INDEX($C:$C,369)&amp;INDEX($D:$D,369)="","",1)</f>
        <v/>
      </c>
      <c r="AJ369" s="95" t="str">
        <f aca="false">IF(OR(AI369="",INDEX($Z:$Z,369)="",INDEX($U:$U,369)="Declined"),"",1)</f>
        <v/>
      </c>
      <c r="AK369" s="95" t="str">
        <f aca="false">IF(AJ369="","",INDEX($Z:$Z,369)&amp;"-"&amp;COUNTIFS($Z$7:Z369,INDEX($Z:$Z,369),$AJ$7:AJ369,1))</f>
        <v/>
      </c>
      <c r="AL369" s="43" t="str">
        <f aca="false">IF(AI369="","",TRIM(INDEX($D:$D,369)&amp;" "&amp;INDEX($C:$C,369))&amp;IF(INDEX($I:$I,369)="Yes"," (child)",""))</f>
        <v/>
      </c>
      <c r="AM369" s="95" t="str">
        <f aca="false">IF(OR(AI369="",INDEX($X:$X,369)="",INDEX($U:$U,369)="Declined"),"",COUNTIFS($X$7:X369,"?*",$U$7:U369,"&lt;&gt;Declined",$AI$7:AI369,1))</f>
        <v/>
      </c>
      <c r="AN369" s="95" t="str">
        <f aca="false">IF(AI369="","",IF(INDEX($L:$L,369)="",1,IF(COUNTIF($L$7:L369,INDEX($L:$L,369))=1,1,"")))</f>
        <v/>
      </c>
      <c r="AO369" s="95" t="str">
        <f aca="false">IF(AN369&lt;&gt;1,"",IF(INDEX($L:$L,369)="",IF(INDEX($S:$S,369)="Yes",1,""),IF(COUNTIFS($L$7:$L$506,INDEX($L:$L,369),$S$7:$S$506,"Yes")&gt;0,1,"")))</f>
        <v/>
      </c>
      <c r="AP369" s="95" t="str">
        <f aca="false">IF(AN369&lt;&gt;1,"",IF(INDEX($L:$L,369)&lt;&gt;"",INDEX($L:$L,369),TRIM(INDEX($D:$D,369)&amp;" "&amp;INDEX($C:$C,369))))</f>
        <v/>
      </c>
      <c r="AQ369" s="43" t="str">
        <f aca="false">IF(OR(AI369="",INDEX($I:$I,369)="Yes"),"",1)</f>
        <v/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customFormat="false" ht="21.75" hidden="false" customHeight="true" outlineLevel="0" collapsed="false">
      <c r="A370" s="1"/>
      <c r="B370" s="113" t="str">
        <f aca="false">IF(AI370="","",COUNT($AI$7:AI370))</f>
        <v/>
      </c>
      <c r="C370" s="114"/>
      <c r="D370" s="114"/>
      <c r="E370" s="114"/>
      <c r="F370" s="114"/>
      <c r="G370" s="115"/>
      <c r="H370" s="115"/>
      <c r="I370" s="115"/>
      <c r="J370" s="115"/>
      <c r="K370" s="115"/>
      <c r="L370" s="114"/>
      <c r="M370" s="114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4"/>
      <c r="Y370" s="114"/>
      <c r="Z370" s="115"/>
      <c r="AA370" s="114"/>
      <c r="AB370" s="114"/>
      <c r="AC370" s="115"/>
      <c r="AD370" s="116"/>
      <c r="AE370" s="114"/>
      <c r="AF370" s="114"/>
      <c r="AG370" s="114"/>
      <c r="AH370" s="1"/>
      <c r="AI370" s="95" t="str">
        <f aca="false">IF(INDEX($C:$C,370)&amp;INDEX($D:$D,370)="","",1)</f>
        <v/>
      </c>
      <c r="AJ370" s="95" t="str">
        <f aca="false">IF(OR(AI370="",INDEX($Z:$Z,370)="",INDEX($U:$U,370)="Declined"),"",1)</f>
        <v/>
      </c>
      <c r="AK370" s="95" t="str">
        <f aca="false">IF(AJ370="","",INDEX($Z:$Z,370)&amp;"-"&amp;COUNTIFS($Z$7:Z370,INDEX($Z:$Z,370),$AJ$7:AJ370,1))</f>
        <v/>
      </c>
      <c r="AL370" s="43" t="str">
        <f aca="false">IF(AI370="","",TRIM(INDEX($D:$D,370)&amp;" "&amp;INDEX($C:$C,370))&amp;IF(INDEX($I:$I,370)="Yes"," (child)",""))</f>
        <v/>
      </c>
      <c r="AM370" s="95" t="str">
        <f aca="false">IF(OR(AI370="",INDEX($X:$X,370)="",INDEX($U:$U,370)="Declined"),"",COUNTIFS($X$7:X370,"?*",$U$7:U370,"&lt;&gt;Declined",$AI$7:AI370,1))</f>
        <v/>
      </c>
      <c r="AN370" s="95" t="str">
        <f aca="false">IF(AI370="","",IF(INDEX($L:$L,370)="",1,IF(COUNTIF($L$7:L370,INDEX($L:$L,370))=1,1,"")))</f>
        <v/>
      </c>
      <c r="AO370" s="95" t="str">
        <f aca="false">IF(AN370&lt;&gt;1,"",IF(INDEX($L:$L,370)="",IF(INDEX($S:$S,370)="Yes",1,""),IF(COUNTIFS($L$7:$L$506,INDEX($L:$L,370),$S$7:$S$506,"Yes")&gt;0,1,"")))</f>
        <v/>
      </c>
      <c r="AP370" s="95" t="str">
        <f aca="false">IF(AN370&lt;&gt;1,"",IF(INDEX($L:$L,370)&lt;&gt;"",INDEX($L:$L,370),TRIM(INDEX($D:$D,370)&amp;" "&amp;INDEX($C:$C,370))))</f>
        <v/>
      </c>
      <c r="AQ370" s="43" t="str">
        <f aca="false">IF(OR(AI370="",INDEX($I:$I,370)="Yes"),"",1)</f>
        <v/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customFormat="false" ht="21.75" hidden="false" customHeight="true" outlineLevel="0" collapsed="false">
      <c r="A371" s="1"/>
      <c r="B371" s="113" t="str">
        <f aca="false">IF(AI371="","",COUNT($AI$7:AI371))</f>
        <v/>
      </c>
      <c r="C371" s="114"/>
      <c r="D371" s="114"/>
      <c r="E371" s="114"/>
      <c r="F371" s="114"/>
      <c r="G371" s="115"/>
      <c r="H371" s="115"/>
      <c r="I371" s="115"/>
      <c r="J371" s="115"/>
      <c r="K371" s="115"/>
      <c r="L371" s="114"/>
      <c r="M371" s="114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4"/>
      <c r="Y371" s="114"/>
      <c r="Z371" s="115"/>
      <c r="AA371" s="114"/>
      <c r="AB371" s="114"/>
      <c r="AC371" s="115"/>
      <c r="AD371" s="116"/>
      <c r="AE371" s="114"/>
      <c r="AF371" s="114"/>
      <c r="AG371" s="114"/>
      <c r="AH371" s="1"/>
      <c r="AI371" s="95" t="str">
        <f aca="false">IF(INDEX($C:$C,371)&amp;INDEX($D:$D,371)="","",1)</f>
        <v/>
      </c>
      <c r="AJ371" s="95" t="str">
        <f aca="false">IF(OR(AI371="",INDEX($Z:$Z,371)="",INDEX($U:$U,371)="Declined"),"",1)</f>
        <v/>
      </c>
      <c r="AK371" s="95" t="str">
        <f aca="false">IF(AJ371="","",INDEX($Z:$Z,371)&amp;"-"&amp;COUNTIFS($Z$7:Z371,INDEX($Z:$Z,371),$AJ$7:AJ371,1))</f>
        <v/>
      </c>
      <c r="AL371" s="43" t="str">
        <f aca="false">IF(AI371="","",TRIM(INDEX($D:$D,371)&amp;" "&amp;INDEX($C:$C,371))&amp;IF(INDEX($I:$I,371)="Yes"," (child)",""))</f>
        <v/>
      </c>
      <c r="AM371" s="95" t="str">
        <f aca="false">IF(OR(AI371="",INDEX($X:$X,371)="",INDEX($U:$U,371)="Declined"),"",COUNTIFS($X$7:X371,"?*",$U$7:U371,"&lt;&gt;Declined",$AI$7:AI371,1))</f>
        <v/>
      </c>
      <c r="AN371" s="95" t="str">
        <f aca="false">IF(AI371="","",IF(INDEX($L:$L,371)="",1,IF(COUNTIF($L$7:L371,INDEX($L:$L,371))=1,1,"")))</f>
        <v/>
      </c>
      <c r="AO371" s="95" t="str">
        <f aca="false">IF(AN371&lt;&gt;1,"",IF(INDEX($L:$L,371)="",IF(INDEX($S:$S,371)="Yes",1,""),IF(COUNTIFS($L$7:$L$506,INDEX($L:$L,371),$S$7:$S$506,"Yes")&gt;0,1,"")))</f>
        <v/>
      </c>
      <c r="AP371" s="95" t="str">
        <f aca="false">IF(AN371&lt;&gt;1,"",IF(INDEX($L:$L,371)&lt;&gt;"",INDEX($L:$L,371),TRIM(INDEX($D:$D,371)&amp;" "&amp;INDEX($C:$C,371))))</f>
        <v/>
      </c>
      <c r="AQ371" s="43" t="str">
        <f aca="false">IF(OR(AI371="",INDEX($I:$I,371)="Yes"),"",1)</f>
        <v/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customFormat="false" ht="21.75" hidden="false" customHeight="true" outlineLevel="0" collapsed="false">
      <c r="A372" s="1"/>
      <c r="B372" s="113" t="str">
        <f aca="false">IF(AI372="","",COUNT($AI$7:AI372))</f>
        <v/>
      </c>
      <c r="C372" s="114"/>
      <c r="D372" s="114"/>
      <c r="E372" s="114"/>
      <c r="F372" s="114"/>
      <c r="G372" s="115"/>
      <c r="H372" s="115"/>
      <c r="I372" s="115"/>
      <c r="J372" s="115"/>
      <c r="K372" s="115"/>
      <c r="L372" s="114"/>
      <c r="M372" s="114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4"/>
      <c r="Y372" s="114"/>
      <c r="Z372" s="115"/>
      <c r="AA372" s="114"/>
      <c r="AB372" s="114"/>
      <c r="AC372" s="115"/>
      <c r="AD372" s="116"/>
      <c r="AE372" s="114"/>
      <c r="AF372" s="114"/>
      <c r="AG372" s="114"/>
      <c r="AH372" s="1"/>
      <c r="AI372" s="95" t="str">
        <f aca="false">IF(INDEX($C:$C,372)&amp;INDEX($D:$D,372)="","",1)</f>
        <v/>
      </c>
      <c r="AJ372" s="95" t="str">
        <f aca="false">IF(OR(AI372="",INDEX($Z:$Z,372)="",INDEX($U:$U,372)="Declined"),"",1)</f>
        <v/>
      </c>
      <c r="AK372" s="95" t="str">
        <f aca="false">IF(AJ372="","",INDEX($Z:$Z,372)&amp;"-"&amp;COUNTIFS($Z$7:Z372,INDEX($Z:$Z,372),$AJ$7:AJ372,1))</f>
        <v/>
      </c>
      <c r="AL372" s="43" t="str">
        <f aca="false">IF(AI372="","",TRIM(INDEX($D:$D,372)&amp;" "&amp;INDEX($C:$C,372))&amp;IF(INDEX($I:$I,372)="Yes"," (child)",""))</f>
        <v/>
      </c>
      <c r="AM372" s="95" t="str">
        <f aca="false">IF(OR(AI372="",INDEX($X:$X,372)="",INDEX($U:$U,372)="Declined"),"",COUNTIFS($X$7:X372,"?*",$U$7:U372,"&lt;&gt;Declined",$AI$7:AI372,1))</f>
        <v/>
      </c>
      <c r="AN372" s="95" t="str">
        <f aca="false">IF(AI372="","",IF(INDEX($L:$L,372)="",1,IF(COUNTIF($L$7:L372,INDEX($L:$L,372))=1,1,"")))</f>
        <v/>
      </c>
      <c r="AO372" s="95" t="str">
        <f aca="false">IF(AN372&lt;&gt;1,"",IF(INDEX($L:$L,372)="",IF(INDEX($S:$S,372)="Yes",1,""),IF(COUNTIFS($L$7:$L$506,INDEX($L:$L,372),$S$7:$S$506,"Yes")&gt;0,1,"")))</f>
        <v/>
      </c>
      <c r="AP372" s="95" t="str">
        <f aca="false">IF(AN372&lt;&gt;1,"",IF(INDEX($L:$L,372)&lt;&gt;"",INDEX($L:$L,372),TRIM(INDEX($D:$D,372)&amp;" "&amp;INDEX($C:$C,372))))</f>
        <v/>
      </c>
      <c r="AQ372" s="43" t="str">
        <f aca="false">IF(OR(AI372="",INDEX($I:$I,372)="Yes"),"",1)</f>
        <v/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customFormat="false" ht="21.75" hidden="false" customHeight="true" outlineLevel="0" collapsed="false">
      <c r="A373" s="1"/>
      <c r="B373" s="113" t="str">
        <f aca="false">IF(AI373="","",COUNT($AI$7:AI373))</f>
        <v/>
      </c>
      <c r="C373" s="114"/>
      <c r="D373" s="114"/>
      <c r="E373" s="114"/>
      <c r="F373" s="114"/>
      <c r="G373" s="115"/>
      <c r="H373" s="115"/>
      <c r="I373" s="115"/>
      <c r="J373" s="115"/>
      <c r="K373" s="115"/>
      <c r="L373" s="114"/>
      <c r="M373" s="114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4"/>
      <c r="Y373" s="114"/>
      <c r="Z373" s="115"/>
      <c r="AA373" s="114"/>
      <c r="AB373" s="114"/>
      <c r="AC373" s="115"/>
      <c r="AD373" s="116"/>
      <c r="AE373" s="114"/>
      <c r="AF373" s="114"/>
      <c r="AG373" s="114"/>
      <c r="AH373" s="1"/>
      <c r="AI373" s="95" t="str">
        <f aca="false">IF(INDEX($C:$C,373)&amp;INDEX($D:$D,373)="","",1)</f>
        <v/>
      </c>
      <c r="AJ373" s="95" t="str">
        <f aca="false">IF(OR(AI373="",INDEX($Z:$Z,373)="",INDEX($U:$U,373)="Declined"),"",1)</f>
        <v/>
      </c>
      <c r="AK373" s="95" t="str">
        <f aca="false">IF(AJ373="","",INDEX($Z:$Z,373)&amp;"-"&amp;COUNTIFS($Z$7:Z373,INDEX($Z:$Z,373),$AJ$7:AJ373,1))</f>
        <v/>
      </c>
      <c r="AL373" s="43" t="str">
        <f aca="false">IF(AI373="","",TRIM(INDEX($D:$D,373)&amp;" "&amp;INDEX($C:$C,373))&amp;IF(INDEX($I:$I,373)="Yes"," (child)",""))</f>
        <v/>
      </c>
      <c r="AM373" s="95" t="str">
        <f aca="false">IF(OR(AI373="",INDEX($X:$X,373)="",INDEX($U:$U,373)="Declined"),"",COUNTIFS($X$7:X373,"?*",$U$7:U373,"&lt;&gt;Declined",$AI$7:AI373,1))</f>
        <v/>
      </c>
      <c r="AN373" s="95" t="str">
        <f aca="false">IF(AI373="","",IF(INDEX($L:$L,373)="",1,IF(COUNTIF($L$7:L373,INDEX($L:$L,373))=1,1,"")))</f>
        <v/>
      </c>
      <c r="AO373" s="95" t="str">
        <f aca="false">IF(AN373&lt;&gt;1,"",IF(INDEX($L:$L,373)="",IF(INDEX($S:$S,373)="Yes",1,""),IF(COUNTIFS($L$7:$L$506,INDEX($L:$L,373),$S$7:$S$506,"Yes")&gt;0,1,"")))</f>
        <v/>
      </c>
      <c r="AP373" s="95" t="str">
        <f aca="false">IF(AN373&lt;&gt;1,"",IF(INDEX($L:$L,373)&lt;&gt;"",INDEX($L:$L,373),TRIM(INDEX($D:$D,373)&amp;" "&amp;INDEX($C:$C,373))))</f>
        <v/>
      </c>
      <c r="AQ373" s="43" t="str">
        <f aca="false">IF(OR(AI373="",INDEX($I:$I,373)="Yes"),"",1)</f>
        <v/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customFormat="false" ht="21.75" hidden="false" customHeight="true" outlineLevel="0" collapsed="false">
      <c r="A374" s="1"/>
      <c r="B374" s="113" t="str">
        <f aca="false">IF(AI374="","",COUNT($AI$7:AI374))</f>
        <v/>
      </c>
      <c r="C374" s="114"/>
      <c r="D374" s="114"/>
      <c r="E374" s="114"/>
      <c r="F374" s="114"/>
      <c r="G374" s="115"/>
      <c r="H374" s="115"/>
      <c r="I374" s="115"/>
      <c r="J374" s="115"/>
      <c r="K374" s="115"/>
      <c r="L374" s="114"/>
      <c r="M374" s="114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4"/>
      <c r="Y374" s="114"/>
      <c r="Z374" s="115"/>
      <c r="AA374" s="114"/>
      <c r="AB374" s="114"/>
      <c r="AC374" s="115"/>
      <c r="AD374" s="116"/>
      <c r="AE374" s="114"/>
      <c r="AF374" s="114"/>
      <c r="AG374" s="114"/>
      <c r="AH374" s="1"/>
      <c r="AI374" s="95" t="str">
        <f aca="false">IF(INDEX($C:$C,374)&amp;INDEX($D:$D,374)="","",1)</f>
        <v/>
      </c>
      <c r="AJ374" s="95" t="str">
        <f aca="false">IF(OR(AI374="",INDEX($Z:$Z,374)="",INDEX($U:$U,374)="Declined"),"",1)</f>
        <v/>
      </c>
      <c r="AK374" s="95" t="str">
        <f aca="false">IF(AJ374="","",INDEX($Z:$Z,374)&amp;"-"&amp;COUNTIFS($Z$7:Z374,INDEX($Z:$Z,374),$AJ$7:AJ374,1))</f>
        <v/>
      </c>
      <c r="AL374" s="43" t="str">
        <f aca="false">IF(AI374="","",TRIM(INDEX($D:$D,374)&amp;" "&amp;INDEX($C:$C,374))&amp;IF(INDEX($I:$I,374)="Yes"," (child)",""))</f>
        <v/>
      </c>
      <c r="AM374" s="95" t="str">
        <f aca="false">IF(OR(AI374="",INDEX($X:$X,374)="",INDEX($U:$U,374)="Declined"),"",COUNTIFS($X$7:X374,"?*",$U$7:U374,"&lt;&gt;Declined",$AI$7:AI374,1))</f>
        <v/>
      </c>
      <c r="AN374" s="95" t="str">
        <f aca="false">IF(AI374="","",IF(INDEX($L:$L,374)="",1,IF(COUNTIF($L$7:L374,INDEX($L:$L,374))=1,1,"")))</f>
        <v/>
      </c>
      <c r="AO374" s="95" t="str">
        <f aca="false">IF(AN374&lt;&gt;1,"",IF(INDEX($L:$L,374)="",IF(INDEX($S:$S,374)="Yes",1,""),IF(COUNTIFS($L$7:$L$506,INDEX($L:$L,374),$S$7:$S$506,"Yes")&gt;0,1,"")))</f>
        <v/>
      </c>
      <c r="AP374" s="95" t="str">
        <f aca="false">IF(AN374&lt;&gt;1,"",IF(INDEX($L:$L,374)&lt;&gt;"",INDEX($L:$L,374),TRIM(INDEX($D:$D,374)&amp;" "&amp;INDEX($C:$C,374))))</f>
        <v/>
      </c>
      <c r="AQ374" s="43" t="str">
        <f aca="false">IF(OR(AI374="",INDEX($I:$I,374)="Yes"),"",1)</f>
        <v/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customFormat="false" ht="21.75" hidden="false" customHeight="true" outlineLevel="0" collapsed="false">
      <c r="A375" s="1"/>
      <c r="B375" s="113" t="str">
        <f aca="false">IF(AI375="","",COUNT($AI$7:AI375))</f>
        <v/>
      </c>
      <c r="C375" s="114"/>
      <c r="D375" s="114"/>
      <c r="E375" s="114"/>
      <c r="F375" s="114"/>
      <c r="G375" s="115"/>
      <c r="H375" s="115"/>
      <c r="I375" s="115"/>
      <c r="J375" s="115"/>
      <c r="K375" s="115"/>
      <c r="L375" s="114"/>
      <c r="M375" s="114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4"/>
      <c r="Y375" s="114"/>
      <c r="Z375" s="115"/>
      <c r="AA375" s="114"/>
      <c r="AB375" s="114"/>
      <c r="AC375" s="115"/>
      <c r="AD375" s="116"/>
      <c r="AE375" s="114"/>
      <c r="AF375" s="114"/>
      <c r="AG375" s="114"/>
      <c r="AH375" s="1"/>
      <c r="AI375" s="95" t="str">
        <f aca="false">IF(INDEX($C:$C,375)&amp;INDEX($D:$D,375)="","",1)</f>
        <v/>
      </c>
      <c r="AJ375" s="95" t="str">
        <f aca="false">IF(OR(AI375="",INDEX($Z:$Z,375)="",INDEX($U:$U,375)="Declined"),"",1)</f>
        <v/>
      </c>
      <c r="AK375" s="95" t="str">
        <f aca="false">IF(AJ375="","",INDEX($Z:$Z,375)&amp;"-"&amp;COUNTIFS($Z$7:Z375,INDEX($Z:$Z,375),$AJ$7:AJ375,1))</f>
        <v/>
      </c>
      <c r="AL375" s="43" t="str">
        <f aca="false">IF(AI375="","",TRIM(INDEX($D:$D,375)&amp;" "&amp;INDEX($C:$C,375))&amp;IF(INDEX($I:$I,375)="Yes"," (child)",""))</f>
        <v/>
      </c>
      <c r="AM375" s="95" t="str">
        <f aca="false">IF(OR(AI375="",INDEX($X:$X,375)="",INDEX($U:$U,375)="Declined"),"",COUNTIFS($X$7:X375,"?*",$U$7:U375,"&lt;&gt;Declined",$AI$7:AI375,1))</f>
        <v/>
      </c>
      <c r="AN375" s="95" t="str">
        <f aca="false">IF(AI375="","",IF(INDEX($L:$L,375)="",1,IF(COUNTIF($L$7:L375,INDEX($L:$L,375))=1,1,"")))</f>
        <v/>
      </c>
      <c r="AO375" s="95" t="str">
        <f aca="false">IF(AN375&lt;&gt;1,"",IF(INDEX($L:$L,375)="",IF(INDEX($S:$S,375)="Yes",1,""),IF(COUNTIFS($L$7:$L$506,INDEX($L:$L,375),$S$7:$S$506,"Yes")&gt;0,1,"")))</f>
        <v/>
      </c>
      <c r="AP375" s="95" t="str">
        <f aca="false">IF(AN375&lt;&gt;1,"",IF(INDEX($L:$L,375)&lt;&gt;"",INDEX($L:$L,375),TRIM(INDEX($D:$D,375)&amp;" "&amp;INDEX($C:$C,375))))</f>
        <v/>
      </c>
      <c r="AQ375" s="43" t="str">
        <f aca="false">IF(OR(AI375="",INDEX($I:$I,375)="Yes"),"",1)</f>
        <v/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customFormat="false" ht="21.75" hidden="false" customHeight="true" outlineLevel="0" collapsed="false">
      <c r="A376" s="1"/>
      <c r="B376" s="113" t="str">
        <f aca="false">IF(AI376="","",COUNT($AI$7:AI376))</f>
        <v/>
      </c>
      <c r="C376" s="114"/>
      <c r="D376" s="114"/>
      <c r="E376" s="114"/>
      <c r="F376" s="114"/>
      <c r="G376" s="115"/>
      <c r="H376" s="115"/>
      <c r="I376" s="115"/>
      <c r="J376" s="115"/>
      <c r="K376" s="115"/>
      <c r="L376" s="114"/>
      <c r="M376" s="114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4"/>
      <c r="Y376" s="114"/>
      <c r="Z376" s="115"/>
      <c r="AA376" s="114"/>
      <c r="AB376" s="114"/>
      <c r="AC376" s="115"/>
      <c r="AD376" s="116"/>
      <c r="AE376" s="114"/>
      <c r="AF376" s="114"/>
      <c r="AG376" s="114"/>
      <c r="AH376" s="1"/>
      <c r="AI376" s="95" t="str">
        <f aca="false">IF(INDEX($C:$C,376)&amp;INDEX($D:$D,376)="","",1)</f>
        <v/>
      </c>
      <c r="AJ376" s="95" t="str">
        <f aca="false">IF(OR(AI376="",INDEX($Z:$Z,376)="",INDEX($U:$U,376)="Declined"),"",1)</f>
        <v/>
      </c>
      <c r="AK376" s="95" t="str">
        <f aca="false">IF(AJ376="","",INDEX($Z:$Z,376)&amp;"-"&amp;COUNTIFS($Z$7:Z376,INDEX($Z:$Z,376),$AJ$7:AJ376,1))</f>
        <v/>
      </c>
      <c r="AL376" s="43" t="str">
        <f aca="false">IF(AI376="","",TRIM(INDEX($D:$D,376)&amp;" "&amp;INDEX($C:$C,376))&amp;IF(INDEX($I:$I,376)="Yes"," (child)",""))</f>
        <v/>
      </c>
      <c r="AM376" s="95" t="str">
        <f aca="false">IF(OR(AI376="",INDEX($X:$X,376)="",INDEX($U:$U,376)="Declined"),"",COUNTIFS($X$7:X376,"?*",$U$7:U376,"&lt;&gt;Declined",$AI$7:AI376,1))</f>
        <v/>
      </c>
      <c r="AN376" s="95" t="str">
        <f aca="false">IF(AI376="","",IF(INDEX($L:$L,376)="",1,IF(COUNTIF($L$7:L376,INDEX($L:$L,376))=1,1,"")))</f>
        <v/>
      </c>
      <c r="AO376" s="95" t="str">
        <f aca="false">IF(AN376&lt;&gt;1,"",IF(INDEX($L:$L,376)="",IF(INDEX($S:$S,376)="Yes",1,""),IF(COUNTIFS($L$7:$L$506,INDEX($L:$L,376),$S$7:$S$506,"Yes")&gt;0,1,"")))</f>
        <v/>
      </c>
      <c r="AP376" s="95" t="str">
        <f aca="false">IF(AN376&lt;&gt;1,"",IF(INDEX($L:$L,376)&lt;&gt;"",INDEX($L:$L,376),TRIM(INDEX($D:$D,376)&amp;" "&amp;INDEX($C:$C,376))))</f>
        <v/>
      </c>
      <c r="AQ376" s="43" t="str">
        <f aca="false">IF(OR(AI376="",INDEX($I:$I,376)="Yes"),"",1)</f>
        <v/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customFormat="false" ht="21.75" hidden="false" customHeight="true" outlineLevel="0" collapsed="false">
      <c r="A377" s="1"/>
      <c r="B377" s="113" t="str">
        <f aca="false">IF(AI377="","",COUNT($AI$7:AI377))</f>
        <v/>
      </c>
      <c r="C377" s="114"/>
      <c r="D377" s="114"/>
      <c r="E377" s="114"/>
      <c r="F377" s="114"/>
      <c r="G377" s="115"/>
      <c r="H377" s="115"/>
      <c r="I377" s="115"/>
      <c r="J377" s="115"/>
      <c r="K377" s="115"/>
      <c r="L377" s="114"/>
      <c r="M377" s="114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4"/>
      <c r="Y377" s="114"/>
      <c r="Z377" s="115"/>
      <c r="AA377" s="114"/>
      <c r="AB377" s="114"/>
      <c r="AC377" s="115"/>
      <c r="AD377" s="116"/>
      <c r="AE377" s="114"/>
      <c r="AF377" s="114"/>
      <c r="AG377" s="114"/>
      <c r="AH377" s="1"/>
      <c r="AI377" s="95" t="str">
        <f aca="false">IF(INDEX($C:$C,377)&amp;INDEX($D:$D,377)="","",1)</f>
        <v/>
      </c>
      <c r="AJ377" s="95" t="str">
        <f aca="false">IF(OR(AI377="",INDEX($Z:$Z,377)="",INDEX($U:$U,377)="Declined"),"",1)</f>
        <v/>
      </c>
      <c r="AK377" s="95" t="str">
        <f aca="false">IF(AJ377="","",INDEX($Z:$Z,377)&amp;"-"&amp;COUNTIFS($Z$7:Z377,INDEX($Z:$Z,377),$AJ$7:AJ377,1))</f>
        <v/>
      </c>
      <c r="AL377" s="43" t="str">
        <f aca="false">IF(AI377="","",TRIM(INDEX($D:$D,377)&amp;" "&amp;INDEX($C:$C,377))&amp;IF(INDEX($I:$I,377)="Yes"," (child)",""))</f>
        <v/>
      </c>
      <c r="AM377" s="95" t="str">
        <f aca="false">IF(OR(AI377="",INDEX($X:$X,377)="",INDEX($U:$U,377)="Declined"),"",COUNTIFS($X$7:X377,"?*",$U$7:U377,"&lt;&gt;Declined",$AI$7:AI377,1))</f>
        <v/>
      </c>
      <c r="AN377" s="95" t="str">
        <f aca="false">IF(AI377="","",IF(INDEX($L:$L,377)="",1,IF(COUNTIF($L$7:L377,INDEX($L:$L,377))=1,1,"")))</f>
        <v/>
      </c>
      <c r="AO377" s="95" t="str">
        <f aca="false">IF(AN377&lt;&gt;1,"",IF(INDEX($L:$L,377)="",IF(INDEX($S:$S,377)="Yes",1,""),IF(COUNTIFS($L$7:$L$506,INDEX($L:$L,377),$S$7:$S$506,"Yes")&gt;0,1,"")))</f>
        <v/>
      </c>
      <c r="AP377" s="95" t="str">
        <f aca="false">IF(AN377&lt;&gt;1,"",IF(INDEX($L:$L,377)&lt;&gt;"",INDEX($L:$L,377),TRIM(INDEX($D:$D,377)&amp;" "&amp;INDEX($C:$C,377))))</f>
        <v/>
      </c>
      <c r="AQ377" s="43" t="str">
        <f aca="false">IF(OR(AI377="",INDEX($I:$I,377)="Yes"),"",1)</f>
        <v/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customFormat="false" ht="21.75" hidden="false" customHeight="true" outlineLevel="0" collapsed="false">
      <c r="A378" s="1"/>
      <c r="B378" s="113" t="str">
        <f aca="false">IF(AI378="","",COUNT($AI$7:AI378))</f>
        <v/>
      </c>
      <c r="C378" s="114"/>
      <c r="D378" s="114"/>
      <c r="E378" s="114"/>
      <c r="F378" s="114"/>
      <c r="G378" s="115"/>
      <c r="H378" s="115"/>
      <c r="I378" s="115"/>
      <c r="J378" s="115"/>
      <c r="K378" s="115"/>
      <c r="L378" s="114"/>
      <c r="M378" s="114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4"/>
      <c r="Y378" s="114"/>
      <c r="Z378" s="115"/>
      <c r="AA378" s="114"/>
      <c r="AB378" s="114"/>
      <c r="AC378" s="115"/>
      <c r="AD378" s="116"/>
      <c r="AE378" s="114"/>
      <c r="AF378" s="114"/>
      <c r="AG378" s="114"/>
      <c r="AH378" s="1"/>
      <c r="AI378" s="95" t="str">
        <f aca="false">IF(INDEX($C:$C,378)&amp;INDEX($D:$D,378)="","",1)</f>
        <v/>
      </c>
      <c r="AJ378" s="95" t="str">
        <f aca="false">IF(OR(AI378="",INDEX($Z:$Z,378)="",INDEX($U:$U,378)="Declined"),"",1)</f>
        <v/>
      </c>
      <c r="AK378" s="95" t="str">
        <f aca="false">IF(AJ378="","",INDEX($Z:$Z,378)&amp;"-"&amp;COUNTIFS($Z$7:Z378,INDEX($Z:$Z,378),$AJ$7:AJ378,1))</f>
        <v/>
      </c>
      <c r="AL378" s="43" t="str">
        <f aca="false">IF(AI378="","",TRIM(INDEX($D:$D,378)&amp;" "&amp;INDEX($C:$C,378))&amp;IF(INDEX($I:$I,378)="Yes"," (child)",""))</f>
        <v/>
      </c>
      <c r="AM378" s="95" t="str">
        <f aca="false">IF(OR(AI378="",INDEX($X:$X,378)="",INDEX($U:$U,378)="Declined"),"",COUNTIFS($X$7:X378,"?*",$U$7:U378,"&lt;&gt;Declined",$AI$7:AI378,1))</f>
        <v/>
      </c>
      <c r="AN378" s="95" t="str">
        <f aca="false">IF(AI378="","",IF(INDEX($L:$L,378)="",1,IF(COUNTIF($L$7:L378,INDEX($L:$L,378))=1,1,"")))</f>
        <v/>
      </c>
      <c r="AO378" s="95" t="str">
        <f aca="false">IF(AN378&lt;&gt;1,"",IF(INDEX($L:$L,378)="",IF(INDEX($S:$S,378)="Yes",1,""),IF(COUNTIFS($L$7:$L$506,INDEX($L:$L,378),$S$7:$S$506,"Yes")&gt;0,1,"")))</f>
        <v/>
      </c>
      <c r="AP378" s="95" t="str">
        <f aca="false">IF(AN378&lt;&gt;1,"",IF(INDEX($L:$L,378)&lt;&gt;"",INDEX($L:$L,378),TRIM(INDEX($D:$D,378)&amp;" "&amp;INDEX($C:$C,378))))</f>
        <v/>
      </c>
      <c r="AQ378" s="43" t="str">
        <f aca="false">IF(OR(AI378="",INDEX($I:$I,378)="Yes"),"",1)</f>
        <v/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customFormat="false" ht="21.75" hidden="false" customHeight="true" outlineLevel="0" collapsed="false">
      <c r="A379" s="1"/>
      <c r="B379" s="113" t="str">
        <f aca="false">IF(AI379="","",COUNT($AI$7:AI379))</f>
        <v/>
      </c>
      <c r="C379" s="114"/>
      <c r="D379" s="114"/>
      <c r="E379" s="114"/>
      <c r="F379" s="114"/>
      <c r="G379" s="115"/>
      <c r="H379" s="115"/>
      <c r="I379" s="115"/>
      <c r="J379" s="115"/>
      <c r="K379" s="115"/>
      <c r="L379" s="114"/>
      <c r="M379" s="114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4"/>
      <c r="Y379" s="114"/>
      <c r="Z379" s="115"/>
      <c r="AA379" s="114"/>
      <c r="AB379" s="114"/>
      <c r="AC379" s="115"/>
      <c r="AD379" s="116"/>
      <c r="AE379" s="114"/>
      <c r="AF379" s="114"/>
      <c r="AG379" s="114"/>
      <c r="AH379" s="1"/>
      <c r="AI379" s="95" t="str">
        <f aca="false">IF(INDEX($C:$C,379)&amp;INDEX($D:$D,379)="","",1)</f>
        <v/>
      </c>
      <c r="AJ379" s="95" t="str">
        <f aca="false">IF(OR(AI379="",INDEX($Z:$Z,379)="",INDEX($U:$U,379)="Declined"),"",1)</f>
        <v/>
      </c>
      <c r="AK379" s="95" t="str">
        <f aca="false">IF(AJ379="","",INDEX($Z:$Z,379)&amp;"-"&amp;COUNTIFS($Z$7:Z379,INDEX($Z:$Z,379),$AJ$7:AJ379,1))</f>
        <v/>
      </c>
      <c r="AL379" s="43" t="str">
        <f aca="false">IF(AI379="","",TRIM(INDEX($D:$D,379)&amp;" "&amp;INDEX($C:$C,379))&amp;IF(INDEX($I:$I,379)="Yes"," (child)",""))</f>
        <v/>
      </c>
      <c r="AM379" s="95" t="str">
        <f aca="false">IF(OR(AI379="",INDEX($X:$X,379)="",INDEX($U:$U,379)="Declined"),"",COUNTIFS($X$7:X379,"?*",$U$7:U379,"&lt;&gt;Declined",$AI$7:AI379,1))</f>
        <v/>
      </c>
      <c r="AN379" s="95" t="str">
        <f aca="false">IF(AI379="","",IF(INDEX($L:$L,379)="",1,IF(COUNTIF($L$7:L379,INDEX($L:$L,379))=1,1,"")))</f>
        <v/>
      </c>
      <c r="AO379" s="95" t="str">
        <f aca="false">IF(AN379&lt;&gt;1,"",IF(INDEX($L:$L,379)="",IF(INDEX($S:$S,379)="Yes",1,""),IF(COUNTIFS($L$7:$L$506,INDEX($L:$L,379),$S$7:$S$506,"Yes")&gt;0,1,"")))</f>
        <v/>
      </c>
      <c r="AP379" s="95" t="str">
        <f aca="false">IF(AN379&lt;&gt;1,"",IF(INDEX($L:$L,379)&lt;&gt;"",INDEX($L:$L,379),TRIM(INDEX($D:$D,379)&amp;" "&amp;INDEX($C:$C,379))))</f>
        <v/>
      </c>
      <c r="AQ379" s="43" t="str">
        <f aca="false">IF(OR(AI379="",INDEX($I:$I,379)="Yes"),"",1)</f>
        <v/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customFormat="false" ht="21.75" hidden="false" customHeight="true" outlineLevel="0" collapsed="false">
      <c r="A380" s="1"/>
      <c r="B380" s="113" t="str">
        <f aca="false">IF(AI380="","",COUNT($AI$7:AI380))</f>
        <v/>
      </c>
      <c r="C380" s="114"/>
      <c r="D380" s="114"/>
      <c r="E380" s="114"/>
      <c r="F380" s="114"/>
      <c r="G380" s="115"/>
      <c r="H380" s="115"/>
      <c r="I380" s="115"/>
      <c r="J380" s="115"/>
      <c r="K380" s="115"/>
      <c r="L380" s="114"/>
      <c r="M380" s="114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4"/>
      <c r="Y380" s="114"/>
      <c r="Z380" s="115"/>
      <c r="AA380" s="114"/>
      <c r="AB380" s="114"/>
      <c r="AC380" s="115"/>
      <c r="AD380" s="116"/>
      <c r="AE380" s="114"/>
      <c r="AF380" s="114"/>
      <c r="AG380" s="114"/>
      <c r="AH380" s="1"/>
      <c r="AI380" s="95" t="str">
        <f aca="false">IF(INDEX($C:$C,380)&amp;INDEX($D:$D,380)="","",1)</f>
        <v/>
      </c>
      <c r="AJ380" s="95" t="str">
        <f aca="false">IF(OR(AI380="",INDEX($Z:$Z,380)="",INDEX($U:$U,380)="Declined"),"",1)</f>
        <v/>
      </c>
      <c r="AK380" s="95" t="str">
        <f aca="false">IF(AJ380="","",INDEX($Z:$Z,380)&amp;"-"&amp;COUNTIFS($Z$7:Z380,INDEX($Z:$Z,380),$AJ$7:AJ380,1))</f>
        <v/>
      </c>
      <c r="AL380" s="43" t="str">
        <f aca="false">IF(AI380="","",TRIM(INDEX($D:$D,380)&amp;" "&amp;INDEX($C:$C,380))&amp;IF(INDEX($I:$I,380)="Yes"," (child)",""))</f>
        <v/>
      </c>
      <c r="AM380" s="95" t="str">
        <f aca="false">IF(OR(AI380="",INDEX($X:$X,380)="",INDEX($U:$U,380)="Declined"),"",COUNTIFS($X$7:X380,"?*",$U$7:U380,"&lt;&gt;Declined",$AI$7:AI380,1))</f>
        <v/>
      </c>
      <c r="AN380" s="95" t="str">
        <f aca="false">IF(AI380="","",IF(INDEX($L:$L,380)="",1,IF(COUNTIF($L$7:L380,INDEX($L:$L,380))=1,1,"")))</f>
        <v/>
      </c>
      <c r="AO380" s="95" t="str">
        <f aca="false">IF(AN380&lt;&gt;1,"",IF(INDEX($L:$L,380)="",IF(INDEX($S:$S,380)="Yes",1,""),IF(COUNTIFS($L$7:$L$506,INDEX($L:$L,380),$S$7:$S$506,"Yes")&gt;0,1,"")))</f>
        <v/>
      </c>
      <c r="AP380" s="95" t="str">
        <f aca="false">IF(AN380&lt;&gt;1,"",IF(INDEX($L:$L,380)&lt;&gt;"",INDEX($L:$L,380),TRIM(INDEX($D:$D,380)&amp;" "&amp;INDEX($C:$C,380))))</f>
        <v/>
      </c>
      <c r="AQ380" s="43" t="str">
        <f aca="false">IF(OR(AI380="",INDEX($I:$I,380)="Yes"),"",1)</f>
        <v/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customFormat="false" ht="21.75" hidden="false" customHeight="true" outlineLevel="0" collapsed="false">
      <c r="A381" s="1"/>
      <c r="B381" s="113" t="str">
        <f aca="false">IF(AI381="","",COUNT($AI$7:AI381))</f>
        <v/>
      </c>
      <c r="C381" s="114"/>
      <c r="D381" s="114"/>
      <c r="E381" s="114"/>
      <c r="F381" s="114"/>
      <c r="G381" s="115"/>
      <c r="H381" s="115"/>
      <c r="I381" s="115"/>
      <c r="J381" s="115"/>
      <c r="K381" s="115"/>
      <c r="L381" s="114"/>
      <c r="M381" s="114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4"/>
      <c r="Y381" s="114"/>
      <c r="Z381" s="115"/>
      <c r="AA381" s="114"/>
      <c r="AB381" s="114"/>
      <c r="AC381" s="115"/>
      <c r="AD381" s="116"/>
      <c r="AE381" s="114"/>
      <c r="AF381" s="114"/>
      <c r="AG381" s="114"/>
      <c r="AH381" s="1"/>
      <c r="AI381" s="95" t="str">
        <f aca="false">IF(INDEX($C:$C,381)&amp;INDEX($D:$D,381)="","",1)</f>
        <v/>
      </c>
      <c r="AJ381" s="95" t="str">
        <f aca="false">IF(OR(AI381="",INDEX($Z:$Z,381)="",INDEX($U:$U,381)="Declined"),"",1)</f>
        <v/>
      </c>
      <c r="AK381" s="95" t="str">
        <f aca="false">IF(AJ381="","",INDEX($Z:$Z,381)&amp;"-"&amp;COUNTIFS($Z$7:Z381,INDEX($Z:$Z,381),$AJ$7:AJ381,1))</f>
        <v/>
      </c>
      <c r="AL381" s="43" t="str">
        <f aca="false">IF(AI381="","",TRIM(INDEX($D:$D,381)&amp;" "&amp;INDEX($C:$C,381))&amp;IF(INDEX($I:$I,381)="Yes"," (child)",""))</f>
        <v/>
      </c>
      <c r="AM381" s="95" t="str">
        <f aca="false">IF(OR(AI381="",INDEX($X:$X,381)="",INDEX($U:$U,381)="Declined"),"",COUNTIFS($X$7:X381,"?*",$U$7:U381,"&lt;&gt;Declined",$AI$7:AI381,1))</f>
        <v/>
      </c>
      <c r="AN381" s="95" t="str">
        <f aca="false">IF(AI381="","",IF(INDEX($L:$L,381)="",1,IF(COUNTIF($L$7:L381,INDEX($L:$L,381))=1,1,"")))</f>
        <v/>
      </c>
      <c r="AO381" s="95" t="str">
        <f aca="false">IF(AN381&lt;&gt;1,"",IF(INDEX($L:$L,381)="",IF(INDEX($S:$S,381)="Yes",1,""),IF(COUNTIFS($L$7:$L$506,INDEX($L:$L,381),$S$7:$S$506,"Yes")&gt;0,1,"")))</f>
        <v/>
      </c>
      <c r="AP381" s="95" t="str">
        <f aca="false">IF(AN381&lt;&gt;1,"",IF(INDEX($L:$L,381)&lt;&gt;"",INDEX($L:$L,381),TRIM(INDEX($D:$D,381)&amp;" "&amp;INDEX($C:$C,381))))</f>
        <v/>
      </c>
      <c r="AQ381" s="43" t="str">
        <f aca="false">IF(OR(AI381="",INDEX($I:$I,381)="Yes"),"",1)</f>
        <v/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customFormat="false" ht="21.75" hidden="false" customHeight="true" outlineLevel="0" collapsed="false">
      <c r="A382" s="1"/>
      <c r="B382" s="113" t="str">
        <f aca="false">IF(AI382="","",COUNT($AI$7:AI382))</f>
        <v/>
      </c>
      <c r="C382" s="114"/>
      <c r="D382" s="114"/>
      <c r="E382" s="114"/>
      <c r="F382" s="114"/>
      <c r="G382" s="115"/>
      <c r="H382" s="115"/>
      <c r="I382" s="115"/>
      <c r="J382" s="115"/>
      <c r="K382" s="115"/>
      <c r="L382" s="114"/>
      <c r="M382" s="114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4"/>
      <c r="Y382" s="114"/>
      <c r="Z382" s="115"/>
      <c r="AA382" s="114"/>
      <c r="AB382" s="114"/>
      <c r="AC382" s="115"/>
      <c r="AD382" s="116"/>
      <c r="AE382" s="114"/>
      <c r="AF382" s="114"/>
      <c r="AG382" s="114"/>
      <c r="AH382" s="1"/>
      <c r="AI382" s="95" t="str">
        <f aca="false">IF(INDEX($C:$C,382)&amp;INDEX($D:$D,382)="","",1)</f>
        <v/>
      </c>
      <c r="AJ382" s="95" t="str">
        <f aca="false">IF(OR(AI382="",INDEX($Z:$Z,382)="",INDEX($U:$U,382)="Declined"),"",1)</f>
        <v/>
      </c>
      <c r="AK382" s="95" t="str">
        <f aca="false">IF(AJ382="","",INDEX($Z:$Z,382)&amp;"-"&amp;COUNTIFS($Z$7:Z382,INDEX($Z:$Z,382),$AJ$7:AJ382,1))</f>
        <v/>
      </c>
      <c r="AL382" s="43" t="str">
        <f aca="false">IF(AI382="","",TRIM(INDEX($D:$D,382)&amp;" "&amp;INDEX($C:$C,382))&amp;IF(INDEX($I:$I,382)="Yes"," (child)",""))</f>
        <v/>
      </c>
      <c r="AM382" s="95" t="str">
        <f aca="false">IF(OR(AI382="",INDEX($X:$X,382)="",INDEX($U:$U,382)="Declined"),"",COUNTIFS($X$7:X382,"?*",$U$7:U382,"&lt;&gt;Declined",$AI$7:AI382,1))</f>
        <v/>
      </c>
      <c r="AN382" s="95" t="str">
        <f aca="false">IF(AI382="","",IF(INDEX($L:$L,382)="",1,IF(COUNTIF($L$7:L382,INDEX($L:$L,382))=1,1,"")))</f>
        <v/>
      </c>
      <c r="AO382" s="95" t="str">
        <f aca="false">IF(AN382&lt;&gt;1,"",IF(INDEX($L:$L,382)="",IF(INDEX($S:$S,382)="Yes",1,""),IF(COUNTIFS($L$7:$L$506,INDEX($L:$L,382),$S$7:$S$506,"Yes")&gt;0,1,"")))</f>
        <v/>
      </c>
      <c r="AP382" s="95" t="str">
        <f aca="false">IF(AN382&lt;&gt;1,"",IF(INDEX($L:$L,382)&lt;&gt;"",INDEX($L:$L,382),TRIM(INDEX($D:$D,382)&amp;" "&amp;INDEX($C:$C,382))))</f>
        <v/>
      </c>
      <c r="AQ382" s="43" t="str">
        <f aca="false">IF(OR(AI382="",INDEX($I:$I,382)="Yes"),"",1)</f>
        <v/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customFormat="false" ht="21.75" hidden="false" customHeight="true" outlineLevel="0" collapsed="false">
      <c r="A383" s="1"/>
      <c r="B383" s="113" t="str">
        <f aca="false">IF(AI383="","",COUNT($AI$7:AI383))</f>
        <v/>
      </c>
      <c r="C383" s="114"/>
      <c r="D383" s="114"/>
      <c r="E383" s="114"/>
      <c r="F383" s="114"/>
      <c r="G383" s="115"/>
      <c r="H383" s="115"/>
      <c r="I383" s="115"/>
      <c r="J383" s="115"/>
      <c r="K383" s="115"/>
      <c r="L383" s="114"/>
      <c r="M383" s="114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4"/>
      <c r="Y383" s="114"/>
      <c r="Z383" s="115"/>
      <c r="AA383" s="114"/>
      <c r="AB383" s="114"/>
      <c r="AC383" s="115"/>
      <c r="AD383" s="116"/>
      <c r="AE383" s="114"/>
      <c r="AF383" s="114"/>
      <c r="AG383" s="114"/>
      <c r="AH383" s="1"/>
      <c r="AI383" s="95" t="str">
        <f aca="false">IF(INDEX($C:$C,383)&amp;INDEX($D:$D,383)="","",1)</f>
        <v/>
      </c>
      <c r="AJ383" s="95" t="str">
        <f aca="false">IF(OR(AI383="",INDEX($Z:$Z,383)="",INDEX($U:$U,383)="Declined"),"",1)</f>
        <v/>
      </c>
      <c r="AK383" s="95" t="str">
        <f aca="false">IF(AJ383="","",INDEX($Z:$Z,383)&amp;"-"&amp;COUNTIFS($Z$7:Z383,INDEX($Z:$Z,383),$AJ$7:AJ383,1))</f>
        <v/>
      </c>
      <c r="AL383" s="43" t="str">
        <f aca="false">IF(AI383="","",TRIM(INDEX($D:$D,383)&amp;" "&amp;INDEX($C:$C,383))&amp;IF(INDEX($I:$I,383)="Yes"," (child)",""))</f>
        <v/>
      </c>
      <c r="AM383" s="95" t="str">
        <f aca="false">IF(OR(AI383="",INDEX($X:$X,383)="",INDEX($U:$U,383)="Declined"),"",COUNTIFS($X$7:X383,"?*",$U$7:U383,"&lt;&gt;Declined",$AI$7:AI383,1))</f>
        <v/>
      </c>
      <c r="AN383" s="95" t="str">
        <f aca="false">IF(AI383="","",IF(INDEX($L:$L,383)="",1,IF(COUNTIF($L$7:L383,INDEX($L:$L,383))=1,1,"")))</f>
        <v/>
      </c>
      <c r="AO383" s="95" t="str">
        <f aca="false">IF(AN383&lt;&gt;1,"",IF(INDEX($L:$L,383)="",IF(INDEX($S:$S,383)="Yes",1,""),IF(COUNTIFS($L$7:$L$506,INDEX($L:$L,383),$S$7:$S$506,"Yes")&gt;0,1,"")))</f>
        <v/>
      </c>
      <c r="AP383" s="95" t="str">
        <f aca="false">IF(AN383&lt;&gt;1,"",IF(INDEX($L:$L,383)&lt;&gt;"",INDEX($L:$L,383),TRIM(INDEX($D:$D,383)&amp;" "&amp;INDEX($C:$C,383))))</f>
        <v/>
      </c>
      <c r="AQ383" s="43" t="str">
        <f aca="false">IF(OR(AI383="",INDEX($I:$I,383)="Yes"),"",1)</f>
        <v/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customFormat="false" ht="21.75" hidden="false" customHeight="true" outlineLevel="0" collapsed="false">
      <c r="A384" s="1"/>
      <c r="B384" s="113" t="str">
        <f aca="false">IF(AI384="","",COUNT($AI$7:AI384))</f>
        <v/>
      </c>
      <c r="C384" s="114"/>
      <c r="D384" s="114"/>
      <c r="E384" s="114"/>
      <c r="F384" s="114"/>
      <c r="G384" s="115"/>
      <c r="H384" s="115"/>
      <c r="I384" s="115"/>
      <c r="J384" s="115"/>
      <c r="K384" s="115"/>
      <c r="L384" s="114"/>
      <c r="M384" s="114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4"/>
      <c r="Y384" s="114"/>
      <c r="Z384" s="115"/>
      <c r="AA384" s="114"/>
      <c r="AB384" s="114"/>
      <c r="AC384" s="115"/>
      <c r="AD384" s="116"/>
      <c r="AE384" s="114"/>
      <c r="AF384" s="114"/>
      <c r="AG384" s="114"/>
      <c r="AH384" s="1"/>
      <c r="AI384" s="95" t="str">
        <f aca="false">IF(INDEX($C:$C,384)&amp;INDEX($D:$D,384)="","",1)</f>
        <v/>
      </c>
      <c r="AJ384" s="95" t="str">
        <f aca="false">IF(OR(AI384="",INDEX($Z:$Z,384)="",INDEX($U:$U,384)="Declined"),"",1)</f>
        <v/>
      </c>
      <c r="AK384" s="95" t="str">
        <f aca="false">IF(AJ384="","",INDEX($Z:$Z,384)&amp;"-"&amp;COUNTIFS($Z$7:Z384,INDEX($Z:$Z,384),$AJ$7:AJ384,1))</f>
        <v/>
      </c>
      <c r="AL384" s="43" t="str">
        <f aca="false">IF(AI384="","",TRIM(INDEX($D:$D,384)&amp;" "&amp;INDEX($C:$C,384))&amp;IF(INDEX($I:$I,384)="Yes"," (child)",""))</f>
        <v/>
      </c>
      <c r="AM384" s="95" t="str">
        <f aca="false">IF(OR(AI384="",INDEX($X:$X,384)="",INDEX($U:$U,384)="Declined"),"",COUNTIFS($X$7:X384,"?*",$U$7:U384,"&lt;&gt;Declined",$AI$7:AI384,1))</f>
        <v/>
      </c>
      <c r="AN384" s="95" t="str">
        <f aca="false">IF(AI384="","",IF(INDEX($L:$L,384)="",1,IF(COUNTIF($L$7:L384,INDEX($L:$L,384))=1,1,"")))</f>
        <v/>
      </c>
      <c r="AO384" s="95" t="str">
        <f aca="false">IF(AN384&lt;&gt;1,"",IF(INDEX($L:$L,384)="",IF(INDEX($S:$S,384)="Yes",1,""),IF(COUNTIFS($L$7:$L$506,INDEX($L:$L,384),$S$7:$S$506,"Yes")&gt;0,1,"")))</f>
        <v/>
      </c>
      <c r="AP384" s="95" t="str">
        <f aca="false">IF(AN384&lt;&gt;1,"",IF(INDEX($L:$L,384)&lt;&gt;"",INDEX($L:$L,384),TRIM(INDEX($D:$D,384)&amp;" "&amp;INDEX($C:$C,384))))</f>
        <v/>
      </c>
      <c r="AQ384" s="43" t="str">
        <f aca="false">IF(OR(AI384="",INDEX($I:$I,384)="Yes"),"",1)</f>
        <v/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customFormat="false" ht="21.75" hidden="false" customHeight="true" outlineLevel="0" collapsed="false">
      <c r="A385" s="1"/>
      <c r="B385" s="113" t="str">
        <f aca="false">IF(AI385="","",COUNT($AI$7:AI385))</f>
        <v/>
      </c>
      <c r="C385" s="114"/>
      <c r="D385" s="114"/>
      <c r="E385" s="114"/>
      <c r="F385" s="114"/>
      <c r="G385" s="115"/>
      <c r="H385" s="115"/>
      <c r="I385" s="115"/>
      <c r="J385" s="115"/>
      <c r="K385" s="115"/>
      <c r="L385" s="114"/>
      <c r="M385" s="114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4"/>
      <c r="Y385" s="114"/>
      <c r="Z385" s="115"/>
      <c r="AA385" s="114"/>
      <c r="AB385" s="114"/>
      <c r="AC385" s="115"/>
      <c r="AD385" s="116"/>
      <c r="AE385" s="114"/>
      <c r="AF385" s="114"/>
      <c r="AG385" s="114"/>
      <c r="AH385" s="1"/>
      <c r="AI385" s="95" t="str">
        <f aca="false">IF(INDEX($C:$C,385)&amp;INDEX($D:$D,385)="","",1)</f>
        <v/>
      </c>
      <c r="AJ385" s="95" t="str">
        <f aca="false">IF(OR(AI385="",INDEX($Z:$Z,385)="",INDEX($U:$U,385)="Declined"),"",1)</f>
        <v/>
      </c>
      <c r="AK385" s="95" t="str">
        <f aca="false">IF(AJ385="","",INDEX($Z:$Z,385)&amp;"-"&amp;COUNTIFS($Z$7:Z385,INDEX($Z:$Z,385),$AJ$7:AJ385,1))</f>
        <v/>
      </c>
      <c r="AL385" s="43" t="str">
        <f aca="false">IF(AI385="","",TRIM(INDEX($D:$D,385)&amp;" "&amp;INDEX($C:$C,385))&amp;IF(INDEX($I:$I,385)="Yes"," (child)",""))</f>
        <v/>
      </c>
      <c r="AM385" s="95" t="str">
        <f aca="false">IF(OR(AI385="",INDEX($X:$X,385)="",INDEX($U:$U,385)="Declined"),"",COUNTIFS($X$7:X385,"?*",$U$7:U385,"&lt;&gt;Declined",$AI$7:AI385,1))</f>
        <v/>
      </c>
      <c r="AN385" s="95" t="str">
        <f aca="false">IF(AI385="","",IF(INDEX($L:$L,385)="",1,IF(COUNTIF($L$7:L385,INDEX($L:$L,385))=1,1,"")))</f>
        <v/>
      </c>
      <c r="AO385" s="95" t="str">
        <f aca="false">IF(AN385&lt;&gt;1,"",IF(INDEX($L:$L,385)="",IF(INDEX($S:$S,385)="Yes",1,""),IF(COUNTIFS($L$7:$L$506,INDEX($L:$L,385),$S$7:$S$506,"Yes")&gt;0,1,"")))</f>
        <v/>
      </c>
      <c r="AP385" s="95" t="str">
        <f aca="false">IF(AN385&lt;&gt;1,"",IF(INDEX($L:$L,385)&lt;&gt;"",INDEX($L:$L,385),TRIM(INDEX($D:$D,385)&amp;" "&amp;INDEX($C:$C,385))))</f>
        <v/>
      </c>
      <c r="AQ385" s="43" t="str">
        <f aca="false">IF(OR(AI385="",INDEX($I:$I,385)="Yes"),"",1)</f>
        <v/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customFormat="false" ht="21.75" hidden="false" customHeight="true" outlineLevel="0" collapsed="false">
      <c r="A386" s="1"/>
      <c r="B386" s="113" t="str">
        <f aca="false">IF(AI386="","",COUNT($AI$7:AI386))</f>
        <v/>
      </c>
      <c r="C386" s="114"/>
      <c r="D386" s="114"/>
      <c r="E386" s="114"/>
      <c r="F386" s="114"/>
      <c r="G386" s="115"/>
      <c r="H386" s="115"/>
      <c r="I386" s="115"/>
      <c r="J386" s="115"/>
      <c r="K386" s="115"/>
      <c r="L386" s="114"/>
      <c r="M386" s="114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4"/>
      <c r="Y386" s="114"/>
      <c r="Z386" s="115"/>
      <c r="AA386" s="114"/>
      <c r="AB386" s="114"/>
      <c r="AC386" s="115"/>
      <c r="AD386" s="116"/>
      <c r="AE386" s="114"/>
      <c r="AF386" s="114"/>
      <c r="AG386" s="114"/>
      <c r="AH386" s="1"/>
      <c r="AI386" s="95" t="str">
        <f aca="false">IF(INDEX($C:$C,386)&amp;INDEX($D:$D,386)="","",1)</f>
        <v/>
      </c>
      <c r="AJ386" s="95" t="str">
        <f aca="false">IF(OR(AI386="",INDEX($Z:$Z,386)="",INDEX($U:$U,386)="Declined"),"",1)</f>
        <v/>
      </c>
      <c r="AK386" s="95" t="str">
        <f aca="false">IF(AJ386="","",INDEX($Z:$Z,386)&amp;"-"&amp;COUNTIFS($Z$7:Z386,INDEX($Z:$Z,386),$AJ$7:AJ386,1))</f>
        <v/>
      </c>
      <c r="AL386" s="43" t="str">
        <f aca="false">IF(AI386="","",TRIM(INDEX($D:$D,386)&amp;" "&amp;INDEX($C:$C,386))&amp;IF(INDEX($I:$I,386)="Yes"," (child)",""))</f>
        <v/>
      </c>
      <c r="AM386" s="95" t="str">
        <f aca="false">IF(OR(AI386="",INDEX($X:$X,386)="",INDEX($U:$U,386)="Declined"),"",COUNTIFS($X$7:X386,"?*",$U$7:U386,"&lt;&gt;Declined",$AI$7:AI386,1))</f>
        <v/>
      </c>
      <c r="AN386" s="95" t="str">
        <f aca="false">IF(AI386="","",IF(INDEX($L:$L,386)="",1,IF(COUNTIF($L$7:L386,INDEX($L:$L,386))=1,1,"")))</f>
        <v/>
      </c>
      <c r="AO386" s="95" t="str">
        <f aca="false">IF(AN386&lt;&gt;1,"",IF(INDEX($L:$L,386)="",IF(INDEX($S:$S,386)="Yes",1,""),IF(COUNTIFS($L$7:$L$506,INDEX($L:$L,386),$S$7:$S$506,"Yes")&gt;0,1,"")))</f>
        <v/>
      </c>
      <c r="AP386" s="95" t="str">
        <f aca="false">IF(AN386&lt;&gt;1,"",IF(INDEX($L:$L,386)&lt;&gt;"",INDEX($L:$L,386),TRIM(INDEX($D:$D,386)&amp;" "&amp;INDEX($C:$C,386))))</f>
        <v/>
      </c>
      <c r="AQ386" s="43" t="str">
        <f aca="false">IF(OR(AI386="",INDEX($I:$I,386)="Yes"),"",1)</f>
        <v/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customFormat="false" ht="21.75" hidden="false" customHeight="true" outlineLevel="0" collapsed="false">
      <c r="A387" s="1"/>
      <c r="B387" s="113" t="str">
        <f aca="false">IF(AI387="","",COUNT($AI$7:AI387))</f>
        <v/>
      </c>
      <c r="C387" s="114"/>
      <c r="D387" s="114"/>
      <c r="E387" s="114"/>
      <c r="F387" s="114"/>
      <c r="G387" s="115"/>
      <c r="H387" s="115"/>
      <c r="I387" s="115"/>
      <c r="J387" s="115"/>
      <c r="K387" s="115"/>
      <c r="L387" s="114"/>
      <c r="M387" s="114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4"/>
      <c r="Y387" s="114"/>
      <c r="Z387" s="115"/>
      <c r="AA387" s="114"/>
      <c r="AB387" s="114"/>
      <c r="AC387" s="115"/>
      <c r="AD387" s="116"/>
      <c r="AE387" s="114"/>
      <c r="AF387" s="114"/>
      <c r="AG387" s="114"/>
      <c r="AH387" s="1"/>
      <c r="AI387" s="95" t="str">
        <f aca="false">IF(INDEX($C:$C,387)&amp;INDEX($D:$D,387)="","",1)</f>
        <v/>
      </c>
      <c r="AJ387" s="95" t="str">
        <f aca="false">IF(OR(AI387="",INDEX($Z:$Z,387)="",INDEX($U:$U,387)="Declined"),"",1)</f>
        <v/>
      </c>
      <c r="AK387" s="95" t="str">
        <f aca="false">IF(AJ387="","",INDEX($Z:$Z,387)&amp;"-"&amp;COUNTIFS($Z$7:Z387,INDEX($Z:$Z,387),$AJ$7:AJ387,1))</f>
        <v/>
      </c>
      <c r="AL387" s="43" t="str">
        <f aca="false">IF(AI387="","",TRIM(INDEX($D:$D,387)&amp;" "&amp;INDEX($C:$C,387))&amp;IF(INDEX($I:$I,387)="Yes"," (child)",""))</f>
        <v/>
      </c>
      <c r="AM387" s="95" t="str">
        <f aca="false">IF(OR(AI387="",INDEX($X:$X,387)="",INDEX($U:$U,387)="Declined"),"",COUNTIFS($X$7:X387,"?*",$U$7:U387,"&lt;&gt;Declined",$AI$7:AI387,1))</f>
        <v/>
      </c>
      <c r="AN387" s="95" t="str">
        <f aca="false">IF(AI387="","",IF(INDEX($L:$L,387)="",1,IF(COUNTIF($L$7:L387,INDEX($L:$L,387))=1,1,"")))</f>
        <v/>
      </c>
      <c r="AO387" s="95" t="str">
        <f aca="false">IF(AN387&lt;&gt;1,"",IF(INDEX($L:$L,387)="",IF(INDEX($S:$S,387)="Yes",1,""),IF(COUNTIFS($L$7:$L$506,INDEX($L:$L,387),$S$7:$S$506,"Yes")&gt;0,1,"")))</f>
        <v/>
      </c>
      <c r="AP387" s="95" t="str">
        <f aca="false">IF(AN387&lt;&gt;1,"",IF(INDEX($L:$L,387)&lt;&gt;"",INDEX($L:$L,387),TRIM(INDEX($D:$D,387)&amp;" "&amp;INDEX($C:$C,387))))</f>
        <v/>
      </c>
      <c r="AQ387" s="43" t="str">
        <f aca="false">IF(OR(AI387="",INDEX($I:$I,387)="Yes"),"",1)</f>
        <v/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customFormat="false" ht="21.75" hidden="false" customHeight="true" outlineLevel="0" collapsed="false">
      <c r="A388" s="1"/>
      <c r="B388" s="113" t="str">
        <f aca="false">IF(AI388="","",COUNT($AI$7:AI388))</f>
        <v/>
      </c>
      <c r="C388" s="114"/>
      <c r="D388" s="114"/>
      <c r="E388" s="114"/>
      <c r="F388" s="114"/>
      <c r="G388" s="115"/>
      <c r="H388" s="115"/>
      <c r="I388" s="115"/>
      <c r="J388" s="115"/>
      <c r="K388" s="115"/>
      <c r="L388" s="114"/>
      <c r="M388" s="114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4"/>
      <c r="Y388" s="114"/>
      <c r="Z388" s="115"/>
      <c r="AA388" s="114"/>
      <c r="AB388" s="114"/>
      <c r="AC388" s="115"/>
      <c r="AD388" s="116"/>
      <c r="AE388" s="114"/>
      <c r="AF388" s="114"/>
      <c r="AG388" s="114"/>
      <c r="AH388" s="1"/>
      <c r="AI388" s="95" t="str">
        <f aca="false">IF(INDEX($C:$C,388)&amp;INDEX($D:$D,388)="","",1)</f>
        <v/>
      </c>
      <c r="AJ388" s="95" t="str">
        <f aca="false">IF(OR(AI388="",INDEX($Z:$Z,388)="",INDEX($U:$U,388)="Declined"),"",1)</f>
        <v/>
      </c>
      <c r="AK388" s="95" t="str">
        <f aca="false">IF(AJ388="","",INDEX($Z:$Z,388)&amp;"-"&amp;COUNTIFS($Z$7:Z388,INDEX($Z:$Z,388),$AJ$7:AJ388,1))</f>
        <v/>
      </c>
      <c r="AL388" s="43" t="str">
        <f aca="false">IF(AI388="","",TRIM(INDEX($D:$D,388)&amp;" "&amp;INDEX($C:$C,388))&amp;IF(INDEX($I:$I,388)="Yes"," (child)",""))</f>
        <v/>
      </c>
      <c r="AM388" s="95" t="str">
        <f aca="false">IF(OR(AI388="",INDEX($X:$X,388)="",INDEX($U:$U,388)="Declined"),"",COUNTIFS($X$7:X388,"?*",$U$7:U388,"&lt;&gt;Declined",$AI$7:AI388,1))</f>
        <v/>
      </c>
      <c r="AN388" s="95" t="str">
        <f aca="false">IF(AI388="","",IF(INDEX($L:$L,388)="",1,IF(COUNTIF($L$7:L388,INDEX($L:$L,388))=1,1,"")))</f>
        <v/>
      </c>
      <c r="AO388" s="95" t="str">
        <f aca="false">IF(AN388&lt;&gt;1,"",IF(INDEX($L:$L,388)="",IF(INDEX($S:$S,388)="Yes",1,""),IF(COUNTIFS($L$7:$L$506,INDEX($L:$L,388),$S$7:$S$506,"Yes")&gt;0,1,"")))</f>
        <v/>
      </c>
      <c r="AP388" s="95" t="str">
        <f aca="false">IF(AN388&lt;&gt;1,"",IF(INDEX($L:$L,388)&lt;&gt;"",INDEX($L:$L,388),TRIM(INDEX($D:$D,388)&amp;" "&amp;INDEX($C:$C,388))))</f>
        <v/>
      </c>
      <c r="AQ388" s="43" t="str">
        <f aca="false">IF(OR(AI388="",INDEX($I:$I,388)="Yes"),"",1)</f>
        <v/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customFormat="false" ht="21.75" hidden="false" customHeight="true" outlineLevel="0" collapsed="false">
      <c r="A389" s="1"/>
      <c r="B389" s="113" t="str">
        <f aca="false">IF(AI389="","",COUNT($AI$7:AI389))</f>
        <v/>
      </c>
      <c r="C389" s="114"/>
      <c r="D389" s="114"/>
      <c r="E389" s="114"/>
      <c r="F389" s="114"/>
      <c r="G389" s="115"/>
      <c r="H389" s="115"/>
      <c r="I389" s="115"/>
      <c r="J389" s="115"/>
      <c r="K389" s="115"/>
      <c r="L389" s="114"/>
      <c r="M389" s="114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4"/>
      <c r="Y389" s="114"/>
      <c r="Z389" s="115"/>
      <c r="AA389" s="114"/>
      <c r="AB389" s="114"/>
      <c r="AC389" s="115"/>
      <c r="AD389" s="116"/>
      <c r="AE389" s="114"/>
      <c r="AF389" s="114"/>
      <c r="AG389" s="114"/>
      <c r="AH389" s="1"/>
      <c r="AI389" s="95" t="str">
        <f aca="false">IF(INDEX($C:$C,389)&amp;INDEX($D:$D,389)="","",1)</f>
        <v/>
      </c>
      <c r="AJ389" s="95" t="str">
        <f aca="false">IF(OR(AI389="",INDEX($Z:$Z,389)="",INDEX($U:$U,389)="Declined"),"",1)</f>
        <v/>
      </c>
      <c r="AK389" s="95" t="str">
        <f aca="false">IF(AJ389="","",INDEX($Z:$Z,389)&amp;"-"&amp;COUNTIFS($Z$7:Z389,INDEX($Z:$Z,389),$AJ$7:AJ389,1))</f>
        <v/>
      </c>
      <c r="AL389" s="43" t="str">
        <f aca="false">IF(AI389="","",TRIM(INDEX($D:$D,389)&amp;" "&amp;INDEX($C:$C,389))&amp;IF(INDEX($I:$I,389)="Yes"," (child)",""))</f>
        <v/>
      </c>
      <c r="AM389" s="95" t="str">
        <f aca="false">IF(OR(AI389="",INDEX($X:$X,389)="",INDEX($U:$U,389)="Declined"),"",COUNTIFS($X$7:X389,"?*",$U$7:U389,"&lt;&gt;Declined",$AI$7:AI389,1))</f>
        <v/>
      </c>
      <c r="AN389" s="95" t="str">
        <f aca="false">IF(AI389="","",IF(INDEX($L:$L,389)="",1,IF(COUNTIF($L$7:L389,INDEX($L:$L,389))=1,1,"")))</f>
        <v/>
      </c>
      <c r="AO389" s="95" t="str">
        <f aca="false">IF(AN389&lt;&gt;1,"",IF(INDEX($L:$L,389)="",IF(INDEX($S:$S,389)="Yes",1,""),IF(COUNTIFS($L$7:$L$506,INDEX($L:$L,389),$S$7:$S$506,"Yes")&gt;0,1,"")))</f>
        <v/>
      </c>
      <c r="AP389" s="95" t="str">
        <f aca="false">IF(AN389&lt;&gt;1,"",IF(INDEX($L:$L,389)&lt;&gt;"",INDEX($L:$L,389),TRIM(INDEX($D:$D,389)&amp;" "&amp;INDEX($C:$C,389))))</f>
        <v/>
      </c>
      <c r="AQ389" s="43" t="str">
        <f aca="false">IF(OR(AI389="",INDEX($I:$I,389)="Yes"),"",1)</f>
        <v/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customFormat="false" ht="21.75" hidden="false" customHeight="true" outlineLevel="0" collapsed="false">
      <c r="A390" s="1"/>
      <c r="B390" s="113" t="str">
        <f aca="false">IF(AI390="","",COUNT($AI$7:AI390))</f>
        <v/>
      </c>
      <c r="C390" s="114"/>
      <c r="D390" s="114"/>
      <c r="E390" s="114"/>
      <c r="F390" s="114"/>
      <c r="G390" s="115"/>
      <c r="H390" s="115"/>
      <c r="I390" s="115"/>
      <c r="J390" s="115"/>
      <c r="K390" s="115"/>
      <c r="L390" s="114"/>
      <c r="M390" s="114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4"/>
      <c r="Y390" s="114"/>
      <c r="Z390" s="115"/>
      <c r="AA390" s="114"/>
      <c r="AB390" s="114"/>
      <c r="AC390" s="115"/>
      <c r="AD390" s="116"/>
      <c r="AE390" s="114"/>
      <c r="AF390" s="114"/>
      <c r="AG390" s="114"/>
      <c r="AH390" s="1"/>
      <c r="AI390" s="95" t="str">
        <f aca="false">IF(INDEX($C:$C,390)&amp;INDEX($D:$D,390)="","",1)</f>
        <v/>
      </c>
      <c r="AJ390" s="95" t="str">
        <f aca="false">IF(OR(AI390="",INDEX($Z:$Z,390)="",INDEX($U:$U,390)="Declined"),"",1)</f>
        <v/>
      </c>
      <c r="AK390" s="95" t="str">
        <f aca="false">IF(AJ390="","",INDEX($Z:$Z,390)&amp;"-"&amp;COUNTIFS($Z$7:Z390,INDEX($Z:$Z,390),$AJ$7:AJ390,1))</f>
        <v/>
      </c>
      <c r="AL390" s="43" t="str">
        <f aca="false">IF(AI390="","",TRIM(INDEX($D:$D,390)&amp;" "&amp;INDEX($C:$C,390))&amp;IF(INDEX($I:$I,390)="Yes"," (child)",""))</f>
        <v/>
      </c>
      <c r="AM390" s="95" t="str">
        <f aca="false">IF(OR(AI390="",INDEX($X:$X,390)="",INDEX($U:$U,390)="Declined"),"",COUNTIFS($X$7:X390,"?*",$U$7:U390,"&lt;&gt;Declined",$AI$7:AI390,1))</f>
        <v/>
      </c>
      <c r="AN390" s="95" t="str">
        <f aca="false">IF(AI390="","",IF(INDEX($L:$L,390)="",1,IF(COUNTIF($L$7:L390,INDEX($L:$L,390))=1,1,"")))</f>
        <v/>
      </c>
      <c r="AO390" s="95" t="str">
        <f aca="false">IF(AN390&lt;&gt;1,"",IF(INDEX($L:$L,390)="",IF(INDEX($S:$S,390)="Yes",1,""),IF(COUNTIFS($L$7:$L$506,INDEX($L:$L,390),$S$7:$S$506,"Yes")&gt;0,1,"")))</f>
        <v/>
      </c>
      <c r="AP390" s="95" t="str">
        <f aca="false">IF(AN390&lt;&gt;1,"",IF(INDEX($L:$L,390)&lt;&gt;"",INDEX($L:$L,390),TRIM(INDEX($D:$D,390)&amp;" "&amp;INDEX($C:$C,390))))</f>
        <v/>
      </c>
      <c r="AQ390" s="43" t="str">
        <f aca="false">IF(OR(AI390="",INDEX($I:$I,390)="Yes"),"",1)</f>
        <v/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customFormat="false" ht="21.75" hidden="false" customHeight="true" outlineLevel="0" collapsed="false">
      <c r="A391" s="1"/>
      <c r="B391" s="113" t="str">
        <f aca="false">IF(AI391="","",COUNT($AI$7:AI391))</f>
        <v/>
      </c>
      <c r="C391" s="114"/>
      <c r="D391" s="114"/>
      <c r="E391" s="114"/>
      <c r="F391" s="114"/>
      <c r="G391" s="115"/>
      <c r="H391" s="115"/>
      <c r="I391" s="115"/>
      <c r="J391" s="115"/>
      <c r="K391" s="115"/>
      <c r="L391" s="114"/>
      <c r="M391" s="114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4"/>
      <c r="Y391" s="114"/>
      <c r="Z391" s="115"/>
      <c r="AA391" s="114"/>
      <c r="AB391" s="114"/>
      <c r="AC391" s="115"/>
      <c r="AD391" s="116"/>
      <c r="AE391" s="114"/>
      <c r="AF391" s="114"/>
      <c r="AG391" s="114"/>
      <c r="AH391" s="1"/>
      <c r="AI391" s="95" t="str">
        <f aca="false">IF(INDEX($C:$C,391)&amp;INDEX($D:$D,391)="","",1)</f>
        <v/>
      </c>
      <c r="AJ391" s="95" t="str">
        <f aca="false">IF(OR(AI391="",INDEX($Z:$Z,391)="",INDEX($U:$U,391)="Declined"),"",1)</f>
        <v/>
      </c>
      <c r="AK391" s="95" t="str">
        <f aca="false">IF(AJ391="","",INDEX($Z:$Z,391)&amp;"-"&amp;COUNTIFS($Z$7:Z391,INDEX($Z:$Z,391),$AJ$7:AJ391,1))</f>
        <v/>
      </c>
      <c r="AL391" s="43" t="str">
        <f aca="false">IF(AI391="","",TRIM(INDEX($D:$D,391)&amp;" "&amp;INDEX($C:$C,391))&amp;IF(INDEX($I:$I,391)="Yes"," (child)",""))</f>
        <v/>
      </c>
      <c r="AM391" s="95" t="str">
        <f aca="false">IF(OR(AI391="",INDEX($X:$X,391)="",INDEX($U:$U,391)="Declined"),"",COUNTIFS($X$7:X391,"?*",$U$7:U391,"&lt;&gt;Declined",$AI$7:AI391,1))</f>
        <v/>
      </c>
      <c r="AN391" s="95" t="str">
        <f aca="false">IF(AI391="","",IF(INDEX($L:$L,391)="",1,IF(COUNTIF($L$7:L391,INDEX($L:$L,391))=1,1,"")))</f>
        <v/>
      </c>
      <c r="AO391" s="95" t="str">
        <f aca="false">IF(AN391&lt;&gt;1,"",IF(INDEX($L:$L,391)="",IF(INDEX($S:$S,391)="Yes",1,""),IF(COUNTIFS($L$7:$L$506,INDEX($L:$L,391),$S$7:$S$506,"Yes")&gt;0,1,"")))</f>
        <v/>
      </c>
      <c r="AP391" s="95" t="str">
        <f aca="false">IF(AN391&lt;&gt;1,"",IF(INDEX($L:$L,391)&lt;&gt;"",INDEX($L:$L,391),TRIM(INDEX($D:$D,391)&amp;" "&amp;INDEX($C:$C,391))))</f>
        <v/>
      </c>
      <c r="AQ391" s="43" t="str">
        <f aca="false">IF(OR(AI391="",INDEX($I:$I,391)="Yes"),"",1)</f>
        <v/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customFormat="false" ht="21.75" hidden="false" customHeight="true" outlineLevel="0" collapsed="false">
      <c r="A392" s="1"/>
      <c r="B392" s="113" t="str">
        <f aca="false">IF(AI392="","",COUNT($AI$7:AI392))</f>
        <v/>
      </c>
      <c r="C392" s="114"/>
      <c r="D392" s="114"/>
      <c r="E392" s="114"/>
      <c r="F392" s="114"/>
      <c r="G392" s="115"/>
      <c r="H392" s="115"/>
      <c r="I392" s="115"/>
      <c r="J392" s="115"/>
      <c r="K392" s="115"/>
      <c r="L392" s="114"/>
      <c r="M392" s="114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4"/>
      <c r="Y392" s="114"/>
      <c r="Z392" s="115"/>
      <c r="AA392" s="114"/>
      <c r="AB392" s="114"/>
      <c r="AC392" s="115"/>
      <c r="AD392" s="116"/>
      <c r="AE392" s="114"/>
      <c r="AF392" s="114"/>
      <c r="AG392" s="114"/>
      <c r="AH392" s="1"/>
      <c r="AI392" s="95" t="str">
        <f aca="false">IF(INDEX($C:$C,392)&amp;INDEX($D:$D,392)="","",1)</f>
        <v/>
      </c>
      <c r="AJ392" s="95" t="str">
        <f aca="false">IF(OR(AI392="",INDEX($Z:$Z,392)="",INDEX($U:$U,392)="Declined"),"",1)</f>
        <v/>
      </c>
      <c r="AK392" s="95" t="str">
        <f aca="false">IF(AJ392="","",INDEX($Z:$Z,392)&amp;"-"&amp;COUNTIFS($Z$7:Z392,INDEX($Z:$Z,392),$AJ$7:AJ392,1))</f>
        <v/>
      </c>
      <c r="AL392" s="43" t="str">
        <f aca="false">IF(AI392="","",TRIM(INDEX($D:$D,392)&amp;" "&amp;INDEX($C:$C,392))&amp;IF(INDEX($I:$I,392)="Yes"," (child)",""))</f>
        <v/>
      </c>
      <c r="AM392" s="95" t="str">
        <f aca="false">IF(OR(AI392="",INDEX($X:$X,392)="",INDEX($U:$U,392)="Declined"),"",COUNTIFS($X$7:X392,"?*",$U$7:U392,"&lt;&gt;Declined",$AI$7:AI392,1))</f>
        <v/>
      </c>
      <c r="AN392" s="95" t="str">
        <f aca="false">IF(AI392="","",IF(INDEX($L:$L,392)="",1,IF(COUNTIF($L$7:L392,INDEX($L:$L,392))=1,1,"")))</f>
        <v/>
      </c>
      <c r="AO392" s="95" t="str">
        <f aca="false">IF(AN392&lt;&gt;1,"",IF(INDEX($L:$L,392)="",IF(INDEX($S:$S,392)="Yes",1,""),IF(COUNTIFS($L$7:$L$506,INDEX($L:$L,392),$S$7:$S$506,"Yes")&gt;0,1,"")))</f>
        <v/>
      </c>
      <c r="AP392" s="95" t="str">
        <f aca="false">IF(AN392&lt;&gt;1,"",IF(INDEX($L:$L,392)&lt;&gt;"",INDEX($L:$L,392),TRIM(INDEX($D:$D,392)&amp;" "&amp;INDEX($C:$C,392))))</f>
        <v/>
      </c>
      <c r="AQ392" s="43" t="str">
        <f aca="false">IF(OR(AI392="",INDEX($I:$I,392)="Yes"),"",1)</f>
        <v/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customFormat="false" ht="21.75" hidden="false" customHeight="true" outlineLevel="0" collapsed="false">
      <c r="A393" s="1"/>
      <c r="B393" s="113" t="str">
        <f aca="false">IF(AI393="","",COUNT($AI$7:AI393))</f>
        <v/>
      </c>
      <c r="C393" s="114"/>
      <c r="D393" s="114"/>
      <c r="E393" s="114"/>
      <c r="F393" s="114"/>
      <c r="G393" s="115"/>
      <c r="H393" s="115"/>
      <c r="I393" s="115"/>
      <c r="J393" s="115"/>
      <c r="K393" s="115"/>
      <c r="L393" s="114"/>
      <c r="M393" s="114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4"/>
      <c r="Y393" s="114"/>
      <c r="Z393" s="115"/>
      <c r="AA393" s="114"/>
      <c r="AB393" s="114"/>
      <c r="AC393" s="115"/>
      <c r="AD393" s="116"/>
      <c r="AE393" s="114"/>
      <c r="AF393" s="114"/>
      <c r="AG393" s="114"/>
      <c r="AH393" s="1"/>
      <c r="AI393" s="95" t="str">
        <f aca="false">IF(INDEX($C:$C,393)&amp;INDEX($D:$D,393)="","",1)</f>
        <v/>
      </c>
      <c r="AJ393" s="95" t="str">
        <f aca="false">IF(OR(AI393="",INDEX($Z:$Z,393)="",INDEX($U:$U,393)="Declined"),"",1)</f>
        <v/>
      </c>
      <c r="AK393" s="95" t="str">
        <f aca="false">IF(AJ393="","",INDEX($Z:$Z,393)&amp;"-"&amp;COUNTIFS($Z$7:Z393,INDEX($Z:$Z,393),$AJ$7:AJ393,1))</f>
        <v/>
      </c>
      <c r="AL393" s="43" t="str">
        <f aca="false">IF(AI393="","",TRIM(INDEX($D:$D,393)&amp;" "&amp;INDEX($C:$C,393))&amp;IF(INDEX($I:$I,393)="Yes"," (child)",""))</f>
        <v/>
      </c>
      <c r="AM393" s="95" t="str">
        <f aca="false">IF(OR(AI393="",INDEX($X:$X,393)="",INDEX($U:$U,393)="Declined"),"",COUNTIFS($X$7:X393,"?*",$U$7:U393,"&lt;&gt;Declined",$AI$7:AI393,1))</f>
        <v/>
      </c>
      <c r="AN393" s="95" t="str">
        <f aca="false">IF(AI393="","",IF(INDEX($L:$L,393)="",1,IF(COUNTIF($L$7:L393,INDEX($L:$L,393))=1,1,"")))</f>
        <v/>
      </c>
      <c r="AO393" s="95" t="str">
        <f aca="false">IF(AN393&lt;&gt;1,"",IF(INDEX($L:$L,393)="",IF(INDEX($S:$S,393)="Yes",1,""),IF(COUNTIFS($L$7:$L$506,INDEX($L:$L,393),$S$7:$S$506,"Yes")&gt;0,1,"")))</f>
        <v/>
      </c>
      <c r="AP393" s="95" t="str">
        <f aca="false">IF(AN393&lt;&gt;1,"",IF(INDEX($L:$L,393)&lt;&gt;"",INDEX($L:$L,393),TRIM(INDEX($D:$D,393)&amp;" "&amp;INDEX($C:$C,393))))</f>
        <v/>
      </c>
      <c r="AQ393" s="43" t="str">
        <f aca="false">IF(OR(AI393="",INDEX($I:$I,393)="Yes"),"",1)</f>
        <v/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customFormat="false" ht="21.75" hidden="false" customHeight="true" outlineLevel="0" collapsed="false">
      <c r="A394" s="1"/>
      <c r="B394" s="113" t="str">
        <f aca="false">IF(AI394="","",COUNT($AI$7:AI394))</f>
        <v/>
      </c>
      <c r="C394" s="114"/>
      <c r="D394" s="114"/>
      <c r="E394" s="114"/>
      <c r="F394" s="114"/>
      <c r="G394" s="115"/>
      <c r="H394" s="115"/>
      <c r="I394" s="115"/>
      <c r="J394" s="115"/>
      <c r="K394" s="115"/>
      <c r="L394" s="114"/>
      <c r="M394" s="114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4"/>
      <c r="Y394" s="114"/>
      <c r="Z394" s="115"/>
      <c r="AA394" s="114"/>
      <c r="AB394" s="114"/>
      <c r="AC394" s="115"/>
      <c r="AD394" s="116"/>
      <c r="AE394" s="114"/>
      <c r="AF394" s="114"/>
      <c r="AG394" s="114"/>
      <c r="AH394" s="1"/>
      <c r="AI394" s="95" t="str">
        <f aca="false">IF(INDEX($C:$C,394)&amp;INDEX($D:$D,394)="","",1)</f>
        <v/>
      </c>
      <c r="AJ394" s="95" t="str">
        <f aca="false">IF(OR(AI394="",INDEX($Z:$Z,394)="",INDEX($U:$U,394)="Declined"),"",1)</f>
        <v/>
      </c>
      <c r="AK394" s="95" t="str">
        <f aca="false">IF(AJ394="","",INDEX($Z:$Z,394)&amp;"-"&amp;COUNTIFS($Z$7:Z394,INDEX($Z:$Z,394),$AJ$7:AJ394,1))</f>
        <v/>
      </c>
      <c r="AL394" s="43" t="str">
        <f aca="false">IF(AI394="","",TRIM(INDEX($D:$D,394)&amp;" "&amp;INDEX($C:$C,394))&amp;IF(INDEX($I:$I,394)="Yes"," (child)",""))</f>
        <v/>
      </c>
      <c r="AM394" s="95" t="str">
        <f aca="false">IF(OR(AI394="",INDEX($X:$X,394)="",INDEX($U:$U,394)="Declined"),"",COUNTIFS($X$7:X394,"?*",$U$7:U394,"&lt;&gt;Declined",$AI$7:AI394,1))</f>
        <v/>
      </c>
      <c r="AN394" s="95" t="str">
        <f aca="false">IF(AI394="","",IF(INDEX($L:$L,394)="",1,IF(COUNTIF($L$7:L394,INDEX($L:$L,394))=1,1,"")))</f>
        <v/>
      </c>
      <c r="AO394" s="95" t="str">
        <f aca="false">IF(AN394&lt;&gt;1,"",IF(INDEX($L:$L,394)="",IF(INDEX($S:$S,394)="Yes",1,""),IF(COUNTIFS($L$7:$L$506,INDEX($L:$L,394),$S$7:$S$506,"Yes")&gt;0,1,"")))</f>
        <v/>
      </c>
      <c r="AP394" s="95" t="str">
        <f aca="false">IF(AN394&lt;&gt;1,"",IF(INDEX($L:$L,394)&lt;&gt;"",INDEX($L:$L,394),TRIM(INDEX($D:$D,394)&amp;" "&amp;INDEX($C:$C,394))))</f>
        <v/>
      </c>
      <c r="AQ394" s="43" t="str">
        <f aca="false">IF(OR(AI394="",INDEX($I:$I,394)="Yes"),"",1)</f>
        <v/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customFormat="false" ht="21.75" hidden="false" customHeight="true" outlineLevel="0" collapsed="false">
      <c r="A395" s="1"/>
      <c r="B395" s="113" t="str">
        <f aca="false">IF(AI395="","",COUNT($AI$7:AI395))</f>
        <v/>
      </c>
      <c r="C395" s="114"/>
      <c r="D395" s="114"/>
      <c r="E395" s="114"/>
      <c r="F395" s="114"/>
      <c r="G395" s="115"/>
      <c r="H395" s="115"/>
      <c r="I395" s="115"/>
      <c r="J395" s="115"/>
      <c r="K395" s="115"/>
      <c r="L395" s="114"/>
      <c r="M395" s="114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4"/>
      <c r="Y395" s="114"/>
      <c r="Z395" s="115"/>
      <c r="AA395" s="114"/>
      <c r="AB395" s="114"/>
      <c r="AC395" s="115"/>
      <c r="AD395" s="116"/>
      <c r="AE395" s="114"/>
      <c r="AF395" s="114"/>
      <c r="AG395" s="114"/>
      <c r="AH395" s="1"/>
      <c r="AI395" s="95" t="str">
        <f aca="false">IF(INDEX($C:$C,395)&amp;INDEX($D:$D,395)="","",1)</f>
        <v/>
      </c>
      <c r="AJ395" s="95" t="str">
        <f aca="false">IF(OR(AI395="",INDEX($Z:$Z,395)="",INDEX($U:$U,395)="Declined"),"",1)</f>
        <v/>
      </c>
      <c r="AK395" s="95" t="str">
        <f aca="false">IF(AJ395="","",INDEX($Z:$Z,395)&amp;"-"&amp;COUNTIFS($Z$7:Z395,INDEX($Z:$Z,395),$AJ$7:AJ395,1))</f>
        <v/>
      </c>
      <c r="AL395" s="43" t="str">
        <f aca="false">IF(AI395="","",TRIM(INDEX($D:$D,395)&amp;" "&amp;INDEX($C:$C,395))&amp;IF(INDEX($I:$I,395)="Yes"," (child)",""))</f>
        <v/>
      </c>
      <c r="AM395" s="95" t="str">
        <f aca="false">IF(OR(AI395="",INDEX($X:$X,395)="",INDEX($U:$U,395)="Declined"),"",COUNTIFS($X$7:X395,"?*",$U$7:U395,"&lt;&gt;Declined",$AI$7:AI395,1))</f>
        <v/>
      </c>
      <c r="AN395" s="95" t="str">
        <f aca="false">IF(AI395="","",IF(INDEX($L:$L,395)="",1,IF(COUNTIF($L$7:L395,INDEX($L:$L,395))=1,1,"")))</f>
        <v/>
      </c>
      <c r="AO395" s="95" t="str">
        <f aca="false">IF(AN395&lt;&gt;1,"",IF(INDEX($L:$L,395)="",IF(INDEX($S:$S,395)="Yes",1,""),IF(COUNTIFS($L$7:$L$506,INDEX($L:$L,395),$S$7:$S$506,"Yes")&gt;0,1,"")))</f>
        <v/>
      </c>
      <c r="AP395" s="95" t="str">
        <f aca="false">IF(AN395&lt;&gt;1,"",IF(INDEX($L:$L,395)&lt;&gt;"",INDEX($L:$L,395),TRIM(INDEX($D:$D,395)&amp;" "&amp;INDEX($C:$C,395))))</f>
        <v/>
      </c>
      <c r="AQ395" s="43" t="str">
        <f aca="false">IF(OR(AI395="",INDEX($I:$I,395)="Yes"),"",1)</f>
        <v/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customFormat="false" ht="21.75" hidden="false" customHeight="true" outlineLevel="0" collapsed="false">
      <c r="A396" s="1"/>
      <c r="B396" s="113" t="str">
        <f aca="false">IF(AI396="","",COUNT($AI$7:AI396))</f>
        <v/>
      </c>
      <c r="C396" s="114"/>
      <c r="D396" s="114"/>
      <c r="E396" s="114"/>
      <c r="F396" s="114"/>
      <c r="G396" s="115"/>
      <c r="H396" s="115"/>
      <c r="I396" s="115"/>
      <c r="J396" s="115"/>
      <c r="K396" s="115"/>
      <c r="L396" s="114"/>
      <c r="M396" s="114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4"/>
      <c r="Y396" s="114"/>
      <c r="Z396" s="115"/>
      <c r="AA396" s="114"/>
      <c r="AB396" s="114"/>
      <c r="AC396" s="115"/>
      <c r="AD396" s="116"/>
      <c r="AE396" s="114"/>
      <c r="AF396" s="114"/>
      <c r="AG396" s="114"/>
      <c r="AH396" s="1"/>
      <c r="AI396" s="95" t="str">
        <f aca="false">IF(INDEX($C:$C,396)&amp;INDEX($D:$D,396)="","",1)</f>
        <v/>
      </c>
      <c r="AJ396" s="95" t="str">
        <f aca="false">IF(OR(AI396="",INDEX($Z:$Z,396)="",INDEX($U:$U,396)="Declined"),"",1)</f>
        <v/>
      </c>
      <c r="AK396" s="95" t="str">
        <f aca="false">IF(AJ396="","",INDEX($Z:$Z,396)&amp;"-"&amp;COUNTIFS($Z$7:Z396,INDEX($Z:$Z,396),$AJ$7:AJ396,1))</f>
        <v/>
      </c>
      <c r="AL396" s="43" t="str">
        <f aca="false">IF(AI396="","",TRIM(INDEX($D:$D,396)&amp;" "&amp;INDEX($C:$C,396))&amp;IF(INDEX($I:$I,396)="Yes"," (child)",""))</f>
        <v/>
      </c>
      <c r="AM396" s="95" t="str">
        <f aca="false">IF(OR(AI396="",INDEX($X:$X,396)="",INDEX($U:$U,396)="Declined"),"",COUNTIFS($X$7:X396,"?*",$U$7:U396,"&lt;&gt;Declined",$AI$7:AI396,1))</f>
        <v/>
      </c>
      <c r="AN396" s="95" t="str">
        <f aca="false">IF(AI396="","",IF(INDEX($L:$L,396)="",1,IF(COUNTIF($L$7:L396,INDEX($L:$L,396))=1,1,"")))</f>
        <v/>
      </c>
      <c r="AO396" s="95" t="str">
        <f aca="false">IF(AN396&lt;&gt;1,"",IF(INDEX($L:$L,396)="",IF(INDEX($S:$S,396)="Yes",1,""),IF(COUNTIFS($L$7:$L$506,INDEX($L:$L,396),$S$7:$S$506,"Yes")&gt;0,1,"")))</f>
        <v/>
      </c>
      <c r="AP396" s="95" t="str">
        <f aca="false">IF(AN396&lt;&gt;1,"",IF(INDEX($L:$L,396)&lt;&gt;"",INDEX($L:$L,396),TRIM(INDEX($D:$D,396)&amp;" "&amp;INDEX($C:$C,396))))</f>
        <v/>
      </c>
      <c r="AQ396" s="43" t="str">
        <f aca="false">IF(OR(AI396="",INDEX($I:$I,396)="Yes"),"",1)</f>
        <v/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customFormat="false" ht="21.75" hidden="false" customHeight="true" outlineLevel="0" collapsed="false">
      <c r="A397" s="1"/>
      <c r="B397" s="113" t="str">
        <f aca="false">IF(AI397="","",COUNT($AI$7:AI397))</f>
        <v/>
      </c>
      <c r="C397" s="114"/>
      <c r="D397" s="114"/>
      <c r="E397" s="114"/>
      <c r="F397" s="114"/>
      <c r="G397" s="115"/>
      <c r="H397" s="115"/>
      <c r="I397" s="115"/>
      <c r="J397" s="115"/>
      <c r="K397" s="115"/>
      <c r="L397" s="114"/>
      <c r="M397" s="114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4"/>
      <c r="Y397" s="114"/>
      <c r="Z397" s="115"/>
      <c r="AA397" s="114"/>
      <c r="AB397" s="114"/>
      <c r="AC397" s="115"/>
      <c r="AD397" s="116"/>
      <c r="AE397" s="114"/>
      <c r="AF397" s="114"/>
      <c r="AG397" s="114"/>
      <c r="AH397" s="1"/>
      <c r="AI397" s="95" t="str">
        <f aca="false">IF(INDEX($C:$C,397)&amp;INDEX($D:$D,397)="","",1)</f>
        <v/>
      </c>
      <c r="AJ397" s="95" t="str">
        <f aca="false">IF(OR(AI397="",INDEX($Z:$Z,397)="",INDEX($U:$U,397)="Declined"),"",1)</f>
        <v/>
      </c>
      <c r="AK397" s="95" t="str">
        <f aca="false">IF(AJ397="","",INDEX($Z:$Z,397)&amp;"-"&amp;COUNTIFS($Z$7:Z397,INDEX($Z:$Z,397),$AJ$7:AJ397,1))</f>
        <v/>
      </c>
      <c r="AL397" s="43" t="str">
        <f aca="false">IF(AI397="","",TRIM(INDEX($D:$D,397)&amp;" "&amp;INDEX($C:$C,397))&amp;IF(INDEX($I:$I,397)="Yes"," (child)",""))</f>
        <v/>
      </c>
      <c r="AM397" s="95" t="str">
        <f aca="false">IF(OR(AI397="",INDEX($X:$X,397)="",INDEX($U:$U,397)="Declined"),"",COUNTIFS($X$7:X397,"?*",$U$7:U397,"&lt;&gt;Declined",$AI$7:AI397,1))</f>
        <v/>
      </c>
      <c r="AN397" s="95" t="str">
        <f aca="false">IF(AI397="","",IF(INDEX($L:$L,397)="",1,IF(COUNTIF($L$7:L397,INDEX($L:$L,397))=1,1,"")))</f>
        <v/>
      </c>
      <c r="AO397" s="95" t="str">
        <f aca="false">IF(AN397&lt;&gt;1,"",IF(INDEX($L:$L,397)="",IF(INDEX($S:$S,397)="Yes",1,""),IF(COUNTIFS($L$7:$L$506,INDEX($L:$L,397),$S$7:$S$506,"Yes")&gt;0,1,"")))</f>
        <v/>
      </c>
      <c r="AP397" s="95" t="str">
        <f aca="false">IF(AN397&lt;&gt;1,"",IF(INDEX($L:$L,397)&lt;&gt;"",INDEX($L:$L,397),TRIM(INDEX($D:$D,397)&amp;" "&amp;INDEX($C:$C,397))))</f>
        <v/>
      </c>
      <c r="AQ397" s="43" t="str">
        <f aca="false">IF(OR(AI397="",INDEX($I:$I,397)="Yes"),"",1)</f>
        <v/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customFormat="false" ht="21.75" hidden="false" customHeight="true" outlineLevel="0" collapsed="false">
      <c r="A398" s="1"/>
      <c r="B398" s="113" t="str">
        <f aca="false">IF(AI398="","",COUNT($AI$7:AI398))</f>
        <v/>
      </c>
      <c r="C398" s="114"/>
      <c r="D398" s="114"/>
      <c r="E398" s="114"/>
      <c r="F398" s="114"/>
      <c r="G398" s="115"/>
      <c r="H398" s="115"/>
      <c r="I398" s="115"/>
      <c r="J398" s="115"/>
      <c r="K398" s="115"/>
      <c r="L398" s="114"/>
      <c r="M398" s="114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4"/>
      <c r="Y398" s="114"/>
      <c r="Z398" s="115"/>
      <c r="AA398" s="114"/>
      <c r="AB398" s="114"/>
      <c r="AC398" s="115"/>
      <c r="AD398" s="116"/>
      <c r="AE398" s="114"/>
      <c r="AF398" s="114"/>
      <c r="AG398" s="114"/>
      <c r="AH398" s="1"/>
      <c r="AI398" s="95" t="str">
        <f aca="false">IF(INDEX($C:$C,398)&amp;INDEX($D:$D,398)="","",1)</f>
        <v/>
      </c>
      <c r="AJ398" s="95" t="str">
        <f aca="false">IF(OR(AI398="",INDEX($Z:$Z,398)="",INDEX($U:$U,398)="Declined"),"",1)</f>
        <v/>
      </c>
      <c r="AK398" s="95" t="str">
        <f aca="false">IF(AJ398="","",INDEX($Z:$Z,398)&amp;"-"&amp;COUNTIFS($Z$7:Z398,INDEX($Z:$Z,398),$AJ$7:AJ398,1))</f>
        <v/>
      </c>
      <c r="AL398" s="43" t="str">
        <f aca="false">IF(AI398="","",TRIM(INDEX($D:$D,398)&amp;" "&amp;INDEX($C:$C,398))&amp;IF(INDEX($I:$I,398)="Yes"," (child)",""))</f>
        <v/>
      </c>
      <c r="AM398" s="95" t="str">
        <f aca="false">IF(OR(AI398="",INDEX($X:$X,398)="",INDEX($U:$U,398)="Declined"),"",COUNTIFS($X$7:X398,"?*",$U$7:U398,"&lt;&gt;Declined",$AI$7:AI398,1))</f>
        <v/>
      </c>
      <c r="AN398" s="95" t="str">
        <f aca="false">IF(AI398="","",IF(INDEX($L:$L,398)="",1,IF(COUNTIF($L$7:L398,INDEX($L:$L,398))=1,1,"")))</f>
        <v/>
      </c>
      <c r="AO398" s="95" t="str">
        <f aca="false">IF(AN398&lt;&gt;1,"",IF(INDEX($L:$L,398)="",IF(INDEX($S:$S,398)="Yes",1,""),IF(COUNTIFS($L$7:$L$506,INDEX($L:$L,398),$S$7:$S$506,"Yes")&gt;0,1,"")))</f>
        <v/>
      </c>
      <c r="AP398" s="95" t="str">
        <f aca="false">IF(AN398&lt;&gt;1,"",IF(INDEX($L:$L,398)&lt;&gt;"",INDEX($L:$L,398),TRIM(INDEX($D:$D,398)&amp;" "&amp;INDEX($C:$C,398))))</f>
        <v/>
      </c>
      <c r="AQ398" s="43" t="str">
        <f aca="false">IF(OR(AI398="",INDEX($I:$I,398)="Yes"),"",1)</f>
        <v/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customFormat="false" ht="21.75" hidden="false" customHeight="true" outlineLevel="0" collapsed="false">
      <c r="A399" s="1"/>
      <c r="B399" s="113" t="str">
        <f aca="false">IF(AI399="","",COUNT($AI$7:AI399))</f>
        <v/>
      </c>
      <c r="C399" s="114"/>
      <c r="D399" s="114"/>
      <c r="E399" s="114"/>
      <c r="F399" s="114"/>
      <c r="G399" s="115"/>
      <c r="H399" s="115"/>
      <c r="I399" s="115"/>
      <c r="J399" s="115"/>
      <c r="K399" s="115"/>
      <c r="L399" s="114"/>
      <c r="M399" s="114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4"/>
      <c r="Y399" s="114"/>
      <c r="Z399" s="115"/>
      <c r="AA399" s="114"/>
      <c r="AB399" s="114"/>
      <c r="AC399" s="115"/>
      <c r="AD399" s="116"/>
      <c r="AE399" s="114"/>
      <c r="AF399" s="114"/>
      <c r="AG399" s="114"/>
      <c r="AH399" s="1"/>
      <c r="AI399" s="95" t="str">
        <f aca="false">IF(INDEX($C:$C,399)&amp;INDEX($D:$D,399)="","",1)</f>
        <v/>
      </c>
      <c r="AJ399" s="95" t="str">
        <f aca="false">IF(OR(AI399="",INDEX($Z:$Z,399)="",INDEX($U:$U,399)="Declined"),"",1)</f>
        <v/>
      </c>
      <c r="AK399" s="95" t="str">
        <f aca="false">IF(AJ399="","",INDEX($Z:$Z,399)&amp;"-"&amp;COUNTIFS($Z$7:Z399,INDEX($Z:$Z,399),$AJ$7:AJ399,1))</f>
        <v/>
      </c>
      <c r="AL399" s="43" t="str">
        <f aca="false">IF(AI399="","",TRIM(INDEX($D:$D,399)&amp;" "&amp;INDEX($C:$C,399))&amp;IF(INDEX($I:$I,399)="Yes"," (child)",""))</f>
        <v/>
      </c>
      <c r="AM399" s="95" t="str">
        <f aca="false">IF(OR(AI399="",INDEX($X:$X,399)="",INDEX($U:$U,399)="Declined"),"",COUNTIFS($X$7:X399,"?*",$U$7:U399,"&lt;&gt;Declined",$AI$7:AI399,1))</f>
        <v/>
      </c>
      <c r="AN399" s="95" t="str">
        <f aca="false">IF(AI399="","",IF(INDEX($L:$L,399)="",1,IF(COUNTIF($L$7:L399,INDEX($L:$L,399))=1,1,"")))</f>
        <v/>
      </c>
      <c r="AO399" s="95" t="str">
        <f aca="false">IF(AN399&lt;&gt;1,"",IF(INDEX($L:$L,399)="",IF(INDEX($S:$S,399)="Yes",1,""),IF(COUNTIFS($L$7:$L$506,INDEX($L:$L,399),$S$7:$S$506,"Yes")&gt;0,1,"")))</f>
        <v/>
      </c>
      <c r="AP399" s="95" t="str">
        <f aca="false">IF(AN399&lt;&gt;1,"",IF(INDEX($L:$L,399)&lt;&gt;"",INDEX($L:$L,399),TRIM(INDEX($D:$D,399)&amp;" "&amp;INDEX($C:$C,399))))</f>
        <v/>
      </c>
      <c r="AQ399" s="43" t="str">
        <f aca="false">IF(OR(AI399="",INDEX($I:$I,399)="Yes"),"",1)</f>
        <v/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customFormat="false" ht="21.75" hidden="false" customHeight="true" outlineLevel="0" collapsed="false">
      <c r="A400" s="1"/>
      <c r="B400" s="113" t="str">
        <f aca="false">IF(AI400="","",COUNT($AI$7:AI400))</f>
        <v/>
      </c>
      <c r="C400" s="114"/>
      <c r="D400" s="114"/>
      <c r="E400" s="114"/>
      <c r="F400" s="114"/>
      <c r="G400" s="115"/>
      <c r="H400" s="115"/>
      <c r="I400" s="115"/>
      <c r="J400" s="115"/>
      <c r="K400" s="115"/>
      <c r="L400" s="114"/>
      <c r="M400" s="114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4"/>
      <c r="Y400" s="114"/>
      <c r="Z400" s="115"/>
      <c r="AA400" s="114"/>
      <c r="AB400" s="114"/>
      <c r="AC400" s="115"/>
      <c r="AD400" s="116"/>
      <c r="AE400" s="114"/>
      <c r="AF400" s="114"/>
      <c r="AG400" s="114"/>
      <c r="AH400" s="1"/>
      <c r="AI400" s="95" t="str">
        <f aca="false">IF(INDEX($C:$C,400)&amp;INDEX($D:$D,400)="","",1)</f>
        <v/>
      </c>
      <c r="AJ400" s="95" t="str">
        <f aca="false">IF(OR(AI400="",INDEX($Z:$Z,400)="",INDEX($U:$U,400)="Declined"),"",1)</f>
        <v/>
      </c>
      <c r="AK400" s="95" t="str">
        <f aca="false">IF(AJ400="","",INDEX($Z:$Z,400)&amp;"-"&amp;COUNTIFS($Z$7:Z400,INDEX($Z:$Z,400),$AJ$7:AJ400,1))</f>
        <v/>
      </c>
      <c r="AL400" s="43" t="str">
        <f aca="false">IF(AI400="","",TRIM(INDEX($D:$D,400)&amp;" "&amp;INDEX($C:$C,400))&amp;IF(INDEX($I:$I,400)="Yes"," (child)",""))</f>
        <v/>
      </c>
      <c r="AM400" s="95" t="str">
        <f aca="false">IF(OR(AI400="",INDEX($X:$X,400)="",INDEX($U:$U,400)="Declined"),"",COUNTIFS($X$7:X400,"?*",$U$7:U400,"&lt;&gt;Declined",$AI$7:AI400,1))</f>
        <v/>
      </c>
      <c r="AN400" s="95" t="str">
        <f aca="false">IF(AI400="","",IF(INDEX($L:$L,400)="",1,IF(COUNTIF($L$7:L400,INDEX($L:$L,400))=1,1,"")))</f>
        <v/>
      </c>
      <c r="AO400" s="95" t="str">
        <f aca="false">IF(AN400&lt;&gt;1,"",IF(INDEX($L:$L,400)="",IF(INDEX($S:$S,400)="Yes",1,""),IF(COUNTIFS($L$7:$L$506,INDEX($L:$L,400),$S$7:$S$506,"Yes")&gt;0,1,"")))</f>
        <v/>
      </c>
      <c r="AP400" s="95" t="str">
        <f aca="false">IF(AN400&lt;&gt;1,"",IF(INDEX($L:$L,400)&lt;&gt;"",INDEX($L:$L,400),TRIM(INDEX($D:$D,400)&amp;" "&amp;INDEX($C:$C,400))))</f>
        <v/>
      </c>
      <c r="AQ400" s="43" t="str">
        <f aca="false">IF(OR(AI400="",INDEX($I:$I,400)="Yes"),"",1)</f>
        <v/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customFormat="false" ht="21.75" hidden="false" customHeight="true" outlineLevel="0" collapsed="false">
      <c r="A401" s="1"/>
      <c r="B401" s="113" t="str">
        <f aca="false">IF(AI401="","",COUNT($AI$7:AI401))</f>
        <v/>
      </c>
      <c r="C401" s="114"/>
      <c r="D401" s="114"/>
      <c r="E401" s="114"/>
      <c r="F401" s="114"/>
      <c r="G401" s="115"/>
      <c r="H401" s="115"/>
      <c r="I401" s="115"/>
      <c r="J401" s="115"/>
      <c r="K401" s="115"/>
      <c r="L401" s="114"/>
      <c r="M401" s="114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4"/>
      <c r="Y401" s="114"/>
      <c r="Z401" s="115"/>
      <c r="AA401" s="114"/>
      <c r="AB401" s="114"/>
      <c r="AC401" s="115"/>
      <c r="AD401" s="116"/>
      <c r="AE401" s="114"/>
      <c r="AF401" s="114"/>
      <c r="AG401" s="114"/>
      <c r="AH401" s="1"/>
      <c r="AI401" s="95" t="str">
        <f aca="false">IF(INDEX($C:$C,401)&amp;INDEX($D:$D,401)="","",1)</f>
        <v/>
      </c>
      <c r="AJ401" s="95" t="str">
        <f aca="false">IF(OR(AI401="",INDEX($Z:$Z,401)="",INDEX($U:$U,401)="Declined"),"",1)</f>
        <v/>
      </c>
      <c r="AK401" s="95" t="str">
        <f aca="false">IF(AJ401="","",INDEX($Z:$Z,401)&amp;"-"&amp;COUNTIFS($Z$7:Z401,INDEX($Z:$Z,401),$AJ$7:AJ401,1))</f>
        <v/>
      </c>
      <c r="AL401" s="43" t="str">
        <f aca="false">IF(AI401="","",TRIM(INDEX($D:$D,401)&amp;" "&amp;INDEX($C:$C,401))&amp;IF(INDEX($I:$I,401)="Yes"," (child)",""))</f>
        <v/>
      </c>
      <c r="AM401" s="95" t="str">
        <f aca="false">IF(OR(AI401="",INDEX($X:$X,401)="",INDEX($U:$U,401)="Declined"),"",COUNTIFS($X$7:X401,"?*",$U$7:U401,"&lt;&gt;Declined",$AI$7:AI401,1))</f>
        <v/>
      </c>
      <c r="AN401" s="95" t="str">
        <f aca="false">IF(AI401="","",IF(INDEX($L:$L,401)="",1,IF(COUNTIF($L$7:L401,INDEX($L:$L,401))=1,1,"")))</f>
        <v/>
      </c>
      <c r="AO401" s="95" t="str">
        <f aca="false">IF(AN401&lt;&gt;1,"",IF(INDEX($L:$L,401)="",IF(INDEX($S:$S,401)="Yes",1,""),IF(COUNTIFS($L$7:$L$506,INDEX($L:$L,401),$S$7:$S$506,"Yes")&gt;0,1,"")))</f>
        <v/>
      </c>
      <c r="AP401" s="95" t="str">
        <f aca="false">IF(AN401&lt;&gt;1,"",IF(INDEX($L:$L,401)&lt;&gt;"",INDEX($L:$L,401),TRIM(INDEX($D:$D,401)&amp;" "&amp;INDEX($C:$C,401))))</f>
        <v/>
      </c>
      <c r="AQ401" s="43" t="str">
        <f aca="false">IF(OR(AI401="",INDEX($I:$I,401)="Yes"),"",1)</f>
        <v/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customFormat="false" ht="21.75" hidden="false" customHeight="true" outlineLevel="0" collapsed="false">
      <c r="A402" s="1"/>
      <c r="B402" s="113" t="str">
        <f aca="false">IF(AI402="","",COUNT($AI$7:AI402))</f>
        <v/>
      </c>
      <c r="C402" s="114"/>
      <c r="D402" s="114"/>
      <c r="E402" s="114"/>
      <c r="F402" s="114"/>
      <c r="G402" s="115"/>
      <c r="H402" s="115"/>
      <c r="I402" s="115"/>
      <c r="J402" s="115"/>
      <c r="K402" s="115"/>
      <c r="L402" s="114"/>
      <c r="M402" s="114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4"/>
      <c r="Y402" s="114"/>
      <c r="Z402" s="115"/>
      <c r="AA402" s="114"/>
      <c r="AB402" s="114"/>
      <c r="AC402" s="115"/>
      <c r="AD402" s="116"/>
      <c r="AE402" s="114"/>
      <c r="AF402" s="114"/>
      <c r="AG402" s="114"/>
      <c r="AH402" s="1"/>
      <c r="AI402" s="95" t="str">
        <f aca="false">IF(INDEX($C:$C,402)&amp;INDEX($D:$D,402)="","",1)</f>
        <v/>
      </c>
      <c r="AJ402" s="95" t="str">
        <f aca="false">IF(OR(AI402="",INDEX($Z:$Z,402)="",INDEX($U:$U,402)="Declined"),"",1)</f>
        <v/>
      </c>
      <c r="AK402" s="95" t="str">
        <f aca="false">IF(AJ402="","",INDEX($Z:$Z,402)&amp;"-"&amp;COUNTIFS($Z$7:Z402,INDEX($Z:$Z,402),$AJ$7:AJ402,1))</f>
        <v/>
      </c>
      <c r="AL402" s="43" t="str">
        <f aca="false">IF(AI402="","",TRIM(INDEX($D:$D,402)&amp;" "&amp;INDEX($C:$C,402))&amp;IF(INDEX($I:$I,402)="Yes"," (child)",""))</f>
        <v/>
      </c>
      <c r="AM402" s="95" t="str">
        <f aca="false">IF(OR(AI402="",INDEX($X:$X,402)="",INDEX($U:$U,402)="Declined"),"",COUNTIFS($X$7:X402,"?*",$U$7:U402,"&lt;&gt;Declined",$AI$7:AI402,1))</f>
        <v/>
      </c>
      <c r="AN402" s="95" t="str">
        <f aca="false">IF(AI402="","",IF(INDEX($L:$L,402)="",1,IF(COUNTIF($L$7:L402,INDEX($L:$L,402))=1,1,"")))</f>
        <v/>
      </c>
      <c r="AO402" s="95" t="str">
        <f aca="false">IF(AN402&lt;&gt;1,"",IF(INDEX($L:$L,402)="",IF(INDEX($S:$S,402)="Yes",1,""),IF(COUNTIFS($L$7:$L$506,INDEX($L:$L,402),$S$7:$S$506,"Yes")&gt;0,1,"")))</f>
        <v/>
      </c>
      <c r="AP402" s="95" t="str">
        <f aca="false">IF(AN402&lt;&gt;1,"",IF(INDEX($L:$L,402)&lt;&gt;"",INDEX($L:$L,402),TRIM(INDEX($D:$D,402)&amp;" "&amp;INDEX($C:$C,402))))</f>
        <v/>
      </c>
      <c r="AQ402" s="43" t="str">
        <f aca="false">IF(OR(AI402="",INDEX($I:$I,402)="Yes"),"",1)</f>
        <v/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customFormat="false" ht="21.75" hidden="false" customHeight="true" outlineLevel="0" collapsed="false">
      <c r="A403" s="1"/>
      <c r="B403" s="113" t="str">
        <f aca="false">IF(AI403="","",COUNT($AI$7:AI403))</f>
        <v/>
      </c>
      <c r="C403" s="114"/>
      <c r="D403" s="114"/>
      <c r="E403" s="114"/>
      <c r="F403" s="114"/>
      <c r="G403" s="115"/>
      <c r="H403" s="115"/>
      <c r="I403" s="115"/>
      <c r="J403" s="115"/>
      <c r="K403" s="115"/>
      <c r="L403" s="114"/>
      <c r="M403" s="114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4"/>
      <c r="Y403" s="114"/>
      <c r="Z403" s="115"/>
      <c r="AA403" s="114"/>
      <c r="AB403" s="114"/>
      <c r="AC403" s="115"/>
      <c r="AD403" s="116"/>
      <c r="AE403" s="114"/>
      <c r="AF403" s="114"/>
      <c r="AG403" s="114"/>
      <c r="AH403" s="1"/>
      <c r="AI403" s="95" t="str">
        <f aca="false">IF(INDEX($C:$C,403)&amp;INDEX($D:$D,403)="","",1)</f>
        <v/>
      </c>
      <c r="AJ403" s="95" t="str">
        <f aca="false">IF(OR(AI403="",INDEX($Z:$Z,403)="",INDEX($U:$U,403)="Declined"),"",1)</f>
        <v/>
      </c>
      <c r="AK403" s="95" t="str">
        <f aca="false">IF(AJ403="","",INDEX($Z:$Z,403)&amp;"-"&amp;COUNTIFS($Z$7:Z403,INDEX($Z:$Z,403),$AJ$7:AJ403,1))</f>
        <v/>
      </c>
      <c r="AL403" s="43" t="str">
        <f aca="false">IF(AI403="","",TRIM(INDEX($D:$D,403)&amp;" "&amp;INDEX($C:$C,403))&amp;IF(INDEX($I:$I,403)="Yes"," (child)",""))</f>
        <v/>
      </c>
      <c r="AM403" s="95" t="str">
        <f aca="false">IF(OR(AI403="",INDEX($X:$X,403)="",INDEX($U:$U,403)="Declined"),"",COUNTIFS($X$7:X403,"?*",$U$7:U403,"&lt;&gt;Declined",$AI$7:AI403,1))</f>
        <v/>
      </c>
      <c r="AN403" s="95" t="str">
        <f aca="false">IF(AI403="","",IF(INDEX($L:$L,403)="",1,IF(COUNTIF($L$7:L403,INDEX($L:$L,403))=1,1,"")))</f>
        <v/>
      </c>
      <c r="AO403" s="95" t="str">
        <f aca="false">IF(AN403&lt;&gt;1,"",IF(INDEX($L:$L,403)="",IF(INDEX($S:$S,403)="Yes",1,""),IF(COUNTIFS($L$7:$L$506,INDEX($L:$L,403),$S$7:$S$506,"Yes")&gt;0,1,"")))</f>
        <v/>
      </c>
      <c r="AP403" s="95" t="str">
        <f aca="false">IF(AN403&lt;&gt;1,"",IF(INDEX($L:$L,403)&lt;&gt;"",INDEX($L:$L,403),TRIM(INDEX($D:$D,403)&amp;" "&amp;INDEX($C:$C,403))))</f>
        <v/>
      </c>
      <c r="AQ403" s="43" t="str">
        <f aca="false">IF(OR(AI403="",INDEX($I:$I,403)="Yes"),"",1)</f>
        <v/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customFormat="false" ht="21.75" hidden="false" customHeight="true" outlineLevel="0" collapsed="false">
      <c r="A404" s="1"/>
      <c r="B404" s="113" t="str">
        <f aca="false">IF(AI404="","",COUNT($AI$7:AI404))</f>
        <v/>
      </c>
      <c r="C404" s="114"/>
      <c r="D404" s="114"/>
      <c r="E404" s="114"/>
      <c r="F404" s="114"/>
      <c r="G404" s="115"/>
      <c r="H404" s="115"/>
      <c r="I404" s="115"/>
      <c r="J404" s="115"/>
      <c r="K404" s="115"/>
      <c r="L404" s="114"/>
      <c r="M404" s="114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4"/>
      <c r="Y404" s="114"/>
      <c r="Z404" s="115"/>
      <c r="AA404" s="114"/>
      <c r="AB404" s="114"/>
      <c r="AC404" s="115"/>
      <c r="AD404" s="116"/>
      <c r="AE404" s="114"/>
      <c r="AF404" s="114"/>
      <c r="AG404" s="114"/>
      <c r="AH404" s="1"/>
      <c r="AI404" s="95" t="str">
        <f aca="false">IF(INDEX($C:$C,404)&amp;INDEX($D:$D,404)="","",1)</f>
        <v/>
      </c>
      <c r="AJ404" s="95" t="str">
        <f aca="false">IF(OR(AI404="",INDEX($Z:$Z,404)="",INDEX($U:$U,404)="Declined"),"",1)</f>
        <v/>
      </c>
      <c r="AK404" s="95" t="str">
        <f aca="false">IF(AJ404="","",INDEX($Z:$Z,404)&amp;"-"&amp;COUNTIFS($Z$7:Z404,INDEX($Z:$Z,404),$AJ$7:AJ404,1))</f>
        <v/>
      </c>
      <c r="AL404" s="43" t="str">
        <f aca="false">IF(AI404="","",TRIM(INDEX($D:$D,404)&amp;" "&amp;INDEX($C:$C,404))&amp;IF(INDEX($I:$I,404)="Yes"," (child)",""))</f>
        <v/>
      </c>
      <c r="AM404" s="95" t="str">
        <f aca="false">IF(OR(AI404="",INDEX($X:$X,404)="",INDEX($U:$U,404)="Declined"),"",COUNTIFS($X$7:X404,"?*",$U$7:U404,"&lt;&gt;Declined",$AI$7:AI404,1))</f>
        <v/>
      </c>
      <c r="AN404" s="95" t="str">
        <f aca="false">IF(AI404="","",IF(INDEX($L:$L,404)="",1,IF(COUNTIF($L$7:L404,INDEX($L:$L,404))=1,1,"")))</f>
        <v/>
      </c>
      <c r="AO404" s="95" t="str">
        <f aca="false">IF(AN404&lt;&gt;1,"",IF(INDEX($L:$L,404)="",IF(INDEX($S:$S,404)="Yes",1,""),IF(COUNTIFS($L$7:$L$506,INDEX($L:$L,404),$S$7:$S$506,"Yes")&gt;0,1,"")))</f>
        <v/>
      </c>
      <c r="AP404" s="95" t="str">
        <f aca="false">IF(AN404&lt;&gt;1,"",IF(INDEX($L:$L,404)&lt;&gt;"",INDEX($L:$L,404),TRIM(INDEX($D:$D,404)&amp;" "&amp;INDEX($C:$C,404))))</f>
        <v/>
      </c>
      <c r="AQ404" s="43" t="str">
        <f aca="false">IF(OR(AI404="",INDEX($I:$I,404)="Yes"),"",1)</f>
        <v/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customFormat="false" ht="21.75" hidden="false" customHeight="true" outlineLevel="0" collapsed="false">
      <c r="A405" s="1"/>
      <c r="B405" s="113" t="str">
        <f aca="false">IF(AI405="","",COUNT($AI$7:AI405))</f>
        <v/>
      </c>
      <c r="C405" s="114"/>
      <c r="D405" s="114"/>
      <c r="E405" s="114"/>
      <c r="F405" s="114"/>
      <c r="G405" s="115"/>
      <c r="H405" s="115"/>
      <c r="I405" s="115"/>
      <c r="J405" s="115"/>
      <c r="K405" s="115"/>
      <c r="L405" s="114"/>
      <c r="M405" s="114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4"/>
      <c r="Y405" s="114"/>
      <c r="Z405" s="115"/>
      <c r="AA405" s="114"/>
      <c r="AB405" s="114"/>
      <c r="AC405" s="115"/>
      <c r="AD405" s="116"/>
      <c r="AE405" s="114"/>
      <c r="AF405" s="114"/>
      <c r="AG405" s="114"/>
      <c r="AH405" s="1"/>
      <c r="AI405" s="95" t="str">
        <f aca="false">IF(INDEX($C:$C,405)&amp;INDEX($D:$D,405)="","",1)</f>
        <v/>
      </c>
      <c r="AJ405" s="95" t="str">
        <f aca="false">IF(OR(AI405="",INDEX($Z:$Z,405)="",INDEX($U:$U,405)="Declined"),"",1)</f>
        <v/>
      </c>
      <c r="AK405" s="95" t="str">
        <f aca="false">IF(AJ405="","",INDEX($Z:$Z,405)&amp;"-"&amp;COUNTIFS($Z$7:Z405,INDEX($Z:$Z,405),$AJ$7:AJ405,1))</f>
        <v/>
      </c>
      <c r="AL405" s="43" t="str">
        <f aca="false">IF(AI405="","",TRIM(INDEX($D:$D,405)&amp;" "&amp;INDEX($C:$C,405))&amp;IF(INDEX($I:$I,405)="Yes"," (child)",""))</f>
        <v/>
      </c>
      <c r="AM405" s="95" t="str">
        <f aca="false">IF(OR(AI405="",INDEX($X:$X,405)="",INDEX($U:$U,405)="Declined"),"",COUNTIFS($X$7:X405,"?*",$U$7:U405,"&lt;&gt;Declined",$AI$7:AI405,1))</f>
        <v/>
      </c>
      <c r="AN405" s="95" t="str">
        <f aca="false">IF(AI405="","",IF(INDEX($L:$L,405)="",1,IF(COUNTIF($L$7:L405,INDEX($L:$L,405))=1,1,"")))</f>
        <v/>
      </c>
      <c r="AO405" s="95" t="str">
        <f aca="false">IF(AN405&lt;&gt;1,"",IF(INDEX($L:$L,405)="",IF(INDEX($S:$S,405)="Yes",1,""),IF(COUNTIFS($L$7:$L$506,INDEX($L:$L,405),$S$7:$S$506,"Yes")&gt;0,1,"")))</f>
        <v/>
      </c>
      <c r="AP405" s="95" t="str">
        <f aca="false">IF(AN405&lt;&gt;1,"",IF(INDEX($L:$L,405)&lt;&gt;"",INDEX($L:$L,405),TRIM(INDEX($D:$D,405)&amp;" "&amp;INDEX($C:$C,405))))</f>
        <v/>
      </c>
      <c r="AQ405" s="43" t="str">
        <f aca="false">IF(OR(AI405="",INDEX($I:$I,405)="Yes"),"",1)</f>
        <v/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customFormat="false" ht="21.75" hidden="false" customHeight="true" outlineLevel="0" collapsed="false">
      <c r="A406" s="1"/>
      <c r="B406" s="113" t="str">
        <f aca="false">IF(AI406="","",COUNT($AI$7:AI406))</f>
        <v/>
      </c>
      <c r="C406" s="114"/>
      <c r="D406" s="114"/>
      <c r="E406" s="114"/>
      <c r="F406" s="114"/>
      <c r="G406" s="115"/>
      <c r="H406" s="115"/>
      <c r="I406" s="115"/>
      <c r="J406" s="115"/>
      <c r="K406" s="115"/>
      <c r="L406" s="114"/>
      <c r="M406" s="114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4"/>
      <c r="Y406" s="114"/>
      <c r="Z406" s="115"/>
      <c r="AA406" s="114"/>
      <c r="AB406" s="114"/>
      <c r="AC406" s="115"/>
      <c r="AD406" s="116"/>
      <c r="AE406" s="114"/>
      <c r="AF406" s="114"/>
      <c r="AG406" s="114"/>
      <c r="AH406" s="1"/>
      <c r="AI406" s="95" t="str">
        <f aca="false">IF(INDEX($C:$C,406)&amp;INDEX($D:$D,406)="","",1)</f>
        <v/>
      </c>
      <c r="AJ406" s="95" t="str">
        <f aca="false">IF(OR(AI406="",INDEX($Z:$Z,406)="",INDEX($U:$U,406)="Declined"),"",1)</f>
        <v/>
      </c>
      <c r="AK406" s="95" t="str">
        <f aca="false">IF(AJ406="","",INDEX($Z:$Z,406)&amp;"-"&amp;COUNTIFS($Z$7:Z406,INDEX($Z:$Z,406),$AJ$7:AJ406,1))</f>
        <v/>
      </c>
      <c r="AL406" s="43" t="str">
        <f aca="false">IF(AI406="","",TRIM(INDEX($D:$D,406)&amp;" "&amp;INDEX($C:$C,406))&amp;IF(INDEX($I:$I,406)="Yes"," (child)",""))</f>
        <v/>
      </c>
      <c r="AM406" s="95" t="str">
        <f aca="false">IF(OR(AI406="",INDEX($X:$X,406)="",INDEX($U:$U,406)="Declined"),"",COUNTIFS($X$7:X406,"?*",$U$7:U406,"&lt;&gt;Declined",$AI$7:AI406,1))</f>
        <v/>
      </c>
      <c r="AN406" s="95" t="str">
        <f aca="false">IF(AI406="","",IF(INDEX($L:$L,406)="",1,IF(COUNTIF($L$7:L406,INDEX($L:$L,406))=1,1,"")))</f>
        <v/>
      </c>
      <c r="AO406" s="95" t="str">
        <f aca="false">IF(AN406&lt;&gt;1,"",IF(INDEX($L:$L,406)="",IF(INDEX($S:$S,406)="Yes",1,""),IF(COUNTIFS($L$7:$L$506,INDEX($L:$L,406),$S$7:$S$506,"Yes")&gt;0,1,"")))</f>
        <v/>
      </c>
      <c r="AP406" s="95" t="str">
        <f aca="false">IF(AN406&lt;&gt;1,"",IF(INDEX($L:$L,406)&lt;&gt;"",INDEX($L:$L,406),TRIM(INDEX($D:$D,406)&amp;" "&amp;INDEX($C:$C,406))))</f>
        <v/>
      </c>
      <c r="AQ406" s="43" t="str">
        <f aca="false">IF(OR(AI406="",INDEX($I:$I,406)="Yes"),"",1)</f>
        <v/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customFormat="false" ht="21.75" hidden="false" customHeight="true" outlineLevel="0" collapsed="false">
      <c r="A407" s="1"/>
      <c r="B407" s="113" t="str">
        <f aca="false">IF(AI407="","",COUNT($AI$7:AI407))</f>
        <v/>
      </c>
      <c r="C407" s="114"/>
      <c r="D407" s="114"/>
      <c r="E407" s="114"/>
      <c r="F407" s="114"/>
      <c r="G407" s="115"/>
      <c r="H407" s="115"/>
      <c r="I407" s="115"/>
      <c r="J407" s="115"/>
      <c r="K407" s="115"/>
      <c r="L407" s="114"/>
      <c r="M407" s="114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4"/>
      <c r="Y407" s="114"/>
      <c r="Z407" s="115"/>
      <c r="AA407" s="114"/>
      <c r="AB407" s="114"/>
      <c r="AC407" s="115"/>
      <c r="AD407" s="116"/>
      <c r="AE407" s="114"/>
      <c r="AF407" s="114"/>
      <c r="AG407" s="114"/>
      <c r="AH407" s="1"/>
      <c r="AI407" s="95" t="str">
        <f aca="false">IF(INDEX($C:$C,407)&amp;INDEX($D:$D,407)="","",1)</f>
        <v/>
      </c>
      <c r="AJ407" s="95" t="str">
        <f aca="false">IF(OR(AI407="",INDEX($Z:$Z,407)="",INDEX($U:$U,407)="Declined"),"",1)</f>
        <v/>
      </c>
      <c r="AK407" s="95" t="str">
        <f aca="false">IF(AJ407="","",INDEX($Z:$Z,407)&amp;"-"&amp;COUNTIFS($Z$7:Z407,INDEX($Z:$Z,407),$AJ$7:AJ407,1))</f>
        <v/>
      </c>
      <c r="AL407" s="43" t="str">
        <f aca="false">IF(AI407="","",TRIM(INDEX($D:$D,407)&amp;" "&amp;INDEX($C:$C,407))&amp;IF(INDEX($I:$I,407)="Yes"," (child)",""))</f>
        <v/>
      </c>
      <c r="AM407" s="95" t="str">
        <f aca="false">IF(OR(AI407="",INDEX($X:$X,407)="",INDEX($U:$U,407)="Declined"),"",COUNTIFS($X$7:X407,"?*",$U$7:U407,"&lt;&gt;Declined",$AI$7:AI407,1))</f>
        <v/>
      </c>
      <c r="AN407" s="95" t="str">
        <f aca="false">IF(AI407="","",IF(INDEX($L:$L,407)="",1,IF(COUNTIF($L$7:L407,INDEX($L:$L,407))=1,1,"")))</f>
        <v/>
      </c>
      <c r="AO407" s="95" t="str">
        <f aca="false">IF(AN407&lt;&gt;1,"",IF(INDEX($L:$L,407)="",IF(INDEX($S:$S,407)="Yes",1,""),IF(COUNTIFS($L$7:$L$506,INDEX($L:$L,407),$S$7:$S$506,"Yes")&gt;0,1,"")))</f>
        <v/>
      </c>
      <c r="AP407" s="95" t="str">
        <f aca="false">IF(AN407&lt;&gt;1,"",IF(INDEX($L:$L,407)&lt;&gt;"",INDEX($L:$L,407),TRIM(INDEX($D:$D,407)&amp;" "&amp;INDEX($C:$C,407))))</f>
        <v/>
      </c>
      <c r="AQ407" s="43" t="str">
        <f aca="false">IF(OR(AI407="",INDEX($I:$I,407)="Yes"),"",1)</f>
        <v/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customFormat="false" ht="21.75" hidden="false" customHeight="true" outlineLevel="0" collapsed="false">
      <c r="A408" s="1"/>
      <c r="B408" s="113" t="str">
        <f aca="false">IF(AI408="","",COUNT($AI$7:AI408))</f>
        <v/>
      </c>
      <c r="C408" s="114"/>
      <c r="D408" s="114"/>
      <c r="E408" s="114"/>
      <c r="F408" s="114"/>
      <c r="G408" s="115"/>
      <c r="H408" s="115"/>
      <c r="I408" s="115"/>
      <c r="J408" s="115"/>
      <c r="K408" s="115"/>
      <c r="L408" s="114"/>
      <c r="M408" s="114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4"/>
      <c r="Y408" s="114"/>
      <c r="Z408" s="115"/>
      <c r="AA408" s="114"/>
      <c r="AB408" s="114"/>
      <c r="AC408" s="115"/>
      <c r="AD408" s="116"/>
      <c r="AE408" s="114"/>
      <c r="AF408" s="114"/>
      <c r="AG408" s="114"/>
      <c r="AH408" s="1"/>
      <c r="AI408" s="95" t="str">
        <f aca="false">IF(INDEX($C:$C,408)&amp;INDEX($D:$D,408)="","",1)</f>
        <v/>
      </c>
      <c r="AJ408" s="95" t="str">
        <f aca="false">IF(OR(AI408="",INDEX($Z:$Z,408)="",INDEX($U:$U,408)="Declined"),"",1)</f>
        <v/>
      </c>
      <c r="AK408" s="95" t="str">
        <f aca="false">IF(AJ408="","",INDEX($Z:$Z,408)&amp;"-"&amp;COUNTIFS($Z$7:Z408,INDEX($Z:$Z,408),$AJ$7:AJ408,1))</f>
        <v/>
      </c>
      <c r="AL408" s="43" t="str">
        <f aca="false">IF(AI408="","",TRIM(INDEX($D:$D,408)&amp;" "&amp;INDEX($C:$C,408))&amp;IF(INDEX($I:$I,408)="Yes"," (child)",""))</f>
        <v/>
      </c>
      <c r="AM408" s="95" t="str">
        <f aca="false">IF(OR(AI408="",INDEX($X:$X,408)="",INDEX($U:$U,408)="Declined"),"",COUNTIFS($X$7:X408,"?*",$U$7:U408,"&lt;&gt;Declined",$AI$7:AI408,1))</f>
        <v/>
      </c>
      <c r="AN408" s="95" t="str">
        <f aca="false">IF(AI408="","",IF(INDEX($L:$L,408)="",1,IF(COUNTIF($L$7:L408,INDEX($L:$L,408))=1,1,"")))</f>
        <v/>
      </c>
      <c r="AO408" s="95" t="str">
        <f aca="false">IF(AN408&lt;&gt;1,"",IF(INDEX($L:$L,408)="",IF(INDEX($S:$S,408)="Yes",1,""),IF(COUNTIFS($L$7:$L$506,INDEX($L:$L,408),$S$7:$S$506,"Yes")&gt;0,1,"")))</f>
        <v/>
      </c>
      <c r="AP408" s="95" t="str">
        <f aca="false">IF(AN408&lt;&gt;1,"",IF(INDEX($L:$L,408)&lt;&gt;"",INDEX($L:$L,408),TRIM(INDEX($D:$D,408)&amp;" "&amp;INDEX($C:$C,408))))</f>
        <v/>
      </c>
      <c r="AQ408" s="43" t="str">
        <f aca="false">IF(OR(AI408="",INDEX($I:$I,408)="Yes"),"",1)</f>
        <v/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customFormat="false" ht="21.75" hidden="false" customHeight="true" outlineLevel="0" collapsed="false">
      <c r="A409" s="1"/>
      <c r="B409" s="113" t="str">
        <f aca="false">IF(AI409="","",COUNT($AI$7:AI409))</f>
        <v/>
      </c>
      <c r="C409" s="114"/>
      <c r="D409" s="114"/>
      <c r="E409" s="114"/>
      <c r="F409" s="114"/>
      <c r="G409" s="115"/>
      <c r="H409" s="115"/>
      <c r="I409" s="115"/>
      <c r="J409" s="115"/>
      <c r="K409" s="115"/>
      <c r="L409" s="114"/>
      <c r="M409" s="114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4"/>
      <c r="Y409" s="114"/>
      <c r="Z409" s="115"/>
      <c r="AA409" s="114"/>
      <c r="AB409" s="114"/>
      <c r="AC409" s="115"/>
      <c r="AD409" s="116"/>
      <c r="AE409" s="114"/>
      <c r="AF409" s="114"/>
      <c r="AG409" s="114"/>
      <c r="AH409" s="1"/>
      <c r="AI409" s="95" t="str">
        <f aca="false">IF(INDEX($C:$C,409)&amp;INDEX($D:$D,409)="","",1)</f>
        <v/>
      </c>
      <c r="AJ409" s="95" t="str">
        <f aca="false">IF(OR(AI409="",INDEX($Z:$Z,409)="",INDEX($U:$U,409)="Declined"),"",1)</f>
        <v/>
      </c>
      <c r="AK409" s="95" t="str">
        <f aca="false">IF(AJ409="","",INDEX($Z:$Z,409)&amp;"-"&amp;COUNTIFS($Z$7:Z409,INDEX($Z:$Z,409),$AJ$7:AJ409,1))</f>
        <v/>
      </c>
      <c r="AL409" s="43" t="str">
        <f aca="false">IF(AI409="","",TRIM(INDEX($D:$D,409)&amp;" "&amp;INDEX($C:$C,409))&amp;IF(INDEX($I:$I,409)="Yes"," (child)",""))</f>
        <v/>
      </c>
      <c r="AM409" s="95" t="str">
        <f aca="false">IF(OR(AI409="",INDEX($X:$X,409)="",INDEX($U:$U,409)="Declined"),"",COUNTIFS($X$7:X409,"?*",$U$7:U409,"&lt;&gt;Declined",$AI$7:AI409,1))</f>
        <v/>
      </c>
      <c r="AN409" s="95" t="str">
        <f aca="false">IF(AI409="","",IF(INDEX($L:$L,409)="",1,IF(COUNTIF($L$7:L409,INDEX($L:$L,409))=1,1,"")))</f>
        <v/>
      </c>
      <c r="AO409" s="95" t="str">
        <f aca="false">IF(AN409&lt;&gt;1,"",IF(INDEX($L:$L,409)="",IF(INDEX($S:$S,409)="Yes",1,""),IF(COUNTIFS($L$7:$L$506,INDEX($L:$L,409),$S$7:$S$506,"Yes")&gt;0,1,"")))</f>
        <v/>
      </c>
      <c r="AP409" s="95" t="str">
        <f aca="false">IF(AN409&lt;&gt;1,"",IF(INDEX($L:$L,409)&lt;&gt;"",INDEX($L:$L,409),TRIM(INDEX($D:$D,409)&amp;" "&amp;INDEX($C:$C,409))))</f>
        <v/>
      </c>
      <c r="AQ409" s="43" t="str">
        <f aca="false">IF(OR(AI409="",INDEX($I:$I,409)="Yes"),"",1)</f>
        <v/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customFormat="false" ht="21.75" hidden="false" customHeight="true" outlineLevel="0" collapsed="false">
      <c r="A410" s="1"/>
      <c r="B410" s="113" t="str">
        <f aca="false">IF(AI410="","",COUNT($AI$7:AI410))</f>
        <v/>
      </c>
      <c r="C410" s="114"/>
      <c r="D410" s="114"/>
      <c r="E410" s="114"/>
      <c r="F410" s="114"/>
      <c r="G410" s="115"/>
      <c r="H410" s="115"/>
      <c r="I410" s="115"/>
      <c r="J410" s="115"/>
      <c r="K410" s="115"/>
      <c r="L410" s="114"/>
      <c r="M410" s="114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4"/>
      <c r="Y410" s="114"/>
      <c r="Z410" s="115"/>
      <c r="AA410" s="114"/>
      <c r="AB410" s="114"/>
      <c r="AC410" s="115"/>
      <c r="AD410" s="116"/>
      <c r="AE410" s="114"/>
      <c r="AF410" s="114"/>
      <c r="AG410" s="114"/>
      <c r="AH410" s="1"/>
      <c r="AI410" s="95" t="str">
        <f aca="false">IF(INDEX($C:$C,410)&amp;INDEX($D:$D,410)="","",1)</f>
        <v/>
      </c>
      <c r="AJ410" s="95" t="str">
        <f aca="false">IF(OR(AI410="",INDEX($Z:$Z,410)="",INDEX($U:$U,410)="Declined"),"",1)</f>
        <v/>
      </c>
      <c r="AK410" s="95" t="str">
        <f aca="false">IF(AJ410="","",INDEX($Z:$Z,410)&amp;"-"&amp;COUNTIFS($Z$7:Z410,INDEX($Z:$Z,410),$AJ$7:AJ410,1))</f>
        <v/>
      </c>
      <c r="AL410" s="43" t="str">
        <f aca="false">IF(AI410="","",TRIM(INDEX($D:$D,410)&amp;" "&amp;INDEX($C:$C,410))&amp;IF(INDEX($I:$I,410)="Yes"," (child)",""))</f>
        <v/>
      </c>
      <c r="AM410" s="95" t="str">
        <f aca="false">IF(OR(AI410="",INDEX($X:$X,410)="",INDEX($U:$U,410)="Declined"),"",COUNTIFS($X$7:X410,"?*",$U$7:U410,"&lt;&gt;Declined",$AI$7:AI410,1))</f>
        <v/>
      </c>
      <c r="AN410" s="95" t="str">
        <f aca="false">IF(AI410="","",IF(INDEX($L:$L,410)="",1,IF(COUNTIF($L$7:L410,INDEX($L:$L,410))=1,1,"")))</f>
        <v/>
      </c>
      <c r="AO410" s="95" t="str">
        <f aca="false">IF(AN410&lt;&gt;1,"",IF(INDEX($L:$L,410)="",IF(INDEX($S:$S,410)="Yes",1,""),IF(COUNTIFS($L$7:$L$506,INDEX($L:$L,410),$S$7:$S$506,"Yes")&gt;0,1,"")))</f>
        <v/>
      </c>
      <c r="AP410" s="95" t="str">
        <f aca="false">IF(AN410&lt;&gt;1,"",IF(INDEX($L:$L,410)&lt;&gt;"",INDEX($L:$L,410),TRIM(INDEX($D:$D,410)&amp;" "&amp;INDEX($C:$C,410))))</f>
        <v/>
      </c>
      <c r="AQ410" s="43" t="str">
        <f aca="false">IF(OR(AI410="",INDEX($I:$I,410)="Yes"),"",1)</f>
        <v/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customFormat="false" ht="21.75" hidden="false" customHeight="true" outlineLevel="0" collapsed="false">
      <c r="A411" s="1"/>
      <c r="B411" s="113" t="str">
        <f aca="false">IF(AI411="","",COUNT($AI$7:AI411))</f>
        <v/>
      </c>
      <c r="C411" s="114"/>
      <c r="D411" s="114"/>
      <c r="E411" s="114"/>
      <c r="F411" s="114"/>
      <c r="G411" s="115"/>
      <c r="H411" s="115"/>
      <c r="I411" s="115"/>
      <c r="J411" s="115"/>
      <c r="K411" s="115"/>
      <c r="L411" s="114"/>
      <c r="M411" s="114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4"/>
      <c r="Y411" s="114"/>
      <c r="Z411" s="115"/>
      <c r="AA411" s="114"/>
      <c r="AB411" s="114"/>
      <c r="AC411" s="115"/>
      <c r="AD411" s="116"/>
      <c r="AE411" s="114"/>
      <c r="AF411" s="114"/>
      <c r="AG411" s="114"/>
      <c r="AH411" s="1"/>
      <c r="AI411" s="95" t="str">
        <f aca="false">IF(INDEX($C:$C,411)&amp;INDEX($D:$D,411)="","",1)</f>
        <v/>
      </c>
      <c r="AJ411" s="95" t="str">
        <f aca="false">IF(OR(AI411="",INDEX($Z:$Z,411)="",INDEX($U:$U,411)="Declined"),"",1)</f>
        <v/>
      </c>
      <c r="AK411" s="95" t="str">
        <f aca="false">IF(AJ411="","",INDEX($Z:$Z,411)&amp;"-"&amp;COUNTIFS($Z$7:Z411,INDEX($Z:$Z,411),$AJ$7:AJ411,1))</f>
        <v/>
      </c>
      <c r="AL411" s="43" t="str">
        <f aca="false">IF(AI411="","",TRIM(INDEX($D:$D,411)&amp;" "&amp;INDEX($C:$C,411))&amp;IF(INDEX($I:$I,411)="Yes"," (child)",""))</f>
        <v/>
      </c>
      <c r="AM411" s="95" t="str">
        <f aca="false">IF(OR(AI411="",INDEX($X:$X,411)="",INDEX($U:$U,411)="Declined"),"",COUNTIFS($X$7:X411,"?*",$U$7:U411,"&lt;&gt;Declined",$AI$7:AI411,1))</f>
        <v/>
      </c>
      <c r="AN411" s="95" t="str">
        <f aca="false">IF(AI411="","",IF(INDEX($L:$L,411)="",1,IF(COUNTIF($L$7:L411,INDEX($L:$L,411))=1,1,"")))</f>
        <v/>
      </c>
      <c r="AO411" s="95" t="str">
        <f aca="false">IF(AN411&lt;&gt;1,"",IF(INDEX($L:$L,411)="",IF(INDEX($S:$S,411)="Yes",1,""),IF(COUNTIFS($L$7:$L$506,INDEX($L:$L,411),$S$7:$S$506,"Yes")&gt;0,1,"")))</f>
        <v/>
      </c>
      <c r="AP411" s="95" t="str">
        <f aca="false">IF(AN411&lt;&gt;1,"",IF(INDEX($L:$L,411)&lt;&gt;"",INDEX($L:$L,411),TRIM(INDEX($D:$D,411)&amp;" "&amp;INDEX($C:$C,411))))</f>
        <v/>
      </c>
      <c r="AQ411" s="43" t="str">
        <f aca="false">IF(OR(AI411="",INDEX($I:$I,411)="Yes"),"",1)</f>
        <v/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customFormat="false" ht="21.75" hidden="false" customHeight="true" outlineLevel="0" collapsed="false">
      <c r="A412" s="1"/>
      <c r="B412" s="113" t="str">
        <f aca="false">IF(AI412="","",COUNT($AI$7:AI412))</f>
        <v/>
      </c>
      <c r="C412" s="114"/>
      <c r="D412" s="114"/>
      <c r="E412" s="114"/>
      <c r="F412" s="114"/>
      <c r="G412" s="115"/>
      <c r="H412" s="115"/>
      <c r="I412" s="115"/>
      <c r="J412" s="115"/>
      <c r="K412" s="115"/>
      <c r="L412" s="114"/>
      <c r="M412" s="114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4"/>
      <c r="Y412" s="114"/>
      <c r="Z412" s="115"/>
      <c r="AA412" s="114"/>
      <c r="AB412" s="114"/>
      <c r="AC412" s="115"/>
      <c r="AD412" s="116"/>
      <c r="AE412" s="114"/>
      <c r="AF412" s="114"/>
      <c r="AG412" s="114"/>
      <c r="AH412" s="1"/>
      <c r="AI412" s="95" t="str">
        <f aca="false">IF(INDEX($C:$C,412)&amp;INDEX($D:$D,412)="","",1)</f>
        <v/>
      </c>
      <c r="AJ412" s="95" t="str">
        <f aca="false">IF(OR(AI412="",INDEX($Z:$Z,412)="",INDEX($U:$U,412)="Declined"),"",1)</f>
        <v/>
      </c>
      <c r="AK412" s="95" t="str">
        <f aca="false">IF(AJ412="","",INDEX($Z:$Z,412)&amp;"-"&amp;COUNTIFS($Z$7:Z412,INDEX($Z:$Z,412),$AJ$7:AJ412,1))</f>
        <v/>
      </c>
      <c r="AL412" s="43" t="str">
        <f aca="false">IF(AI412="","",TRIM(INDEX($D:$D,412)&amp;" "&amp;INDEX($C:$C,412))&amp;IF(INDEX($I:$I,412)="Yes"," (child)",""))</f>
        <v/>
      </c>
      <c r="AM412" s="95" t="str">
        <f aca="false">IF(OR(AI412="",INDEX($X:$X,412)="",INDEX($U:$U,412)="Declined"),"",COUNTIFS($X$7:X412,"?*",$U$7:U412,"&lt;&gt;Declined",$AI$7:AI412,1))</f>
        <v/>
      </c>
      <c r="AN412" s="95" t="str">
        <f aca="false">IF(AI412="","",IF(INDEX($L:$L,412)="",1,IF(COUNTIF($L$7:L412,INDEX($L:$L,412))=1,1,"")))</f>
        <v/>
      </c>
      <c r="AO412" s="95" t="str">
        <f aca="false">IF(AN412&lt;&gt;1,"",IF(INDEX($L:$L,412)="",IF(INDEX($S:$S,412)="Yes",1,""),IF(COUNTIFS($L$7:$L$506,INDEX($L:$L,412),$S$7:$S$506,"Yes")&gt;0,1,"")))</f>
        <v/>
      </c>
      <c r="AP412" s="95" t="str">
        <f aca="false">IF(AN412&lt;&gt;1,"",IF(INDEX($L:$L,412)&lt;&gt;"",INDEX($L:$L,412),TRIM(INDEX($D:$D,412)&amp;" "&amp;INDEX($C:$C,412))))</f>
        <v/>
      </c>
      <c r="AQ412" s="43" t="str">
        <f aca="false">IF(OR(AI412="",INDEX($I:$I,412)="Yes"),"",1)</f>
        <v/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customFormat="false" ht="21.75" hidden="false" customHeight="true" outlineLevel="0" collapsed="false">
      <c r="A413" s="1"/>
      <c r="B413" s="113" t="str">
        <f aca="false">IF(AI413="","",COUNT($AI$7:AI413))</f>
        <v/>
      </c>
      <c r="C413" s="114"/>
      <c r="D413" s="114"/>
      <c r="E413" s="114"/>
      <c r="F413" s="114"/>
      <c r="G413" s="115"/>
      <c r="H413" s="115"/>
      <c r="I413" s="115"/>
      <c r="J413" s="115"/>
      <c r="K413" s="115"/>
      <c r="L413" s="114"/>
      <c r="M413" s="114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4"/>
      <c r="Y413" s="114"/>
      <c r="Z413" s="115"/>
      <c r="AA413" s="114"/>
      <c r="AB413" s="114"/>
      <c r="AC413" s="115"/>
      <c r="AD413" s="116"/>
      <c r="AE413" s="114"/>
      <c r="AF413" s="114"/>
      <c r="AG413" s="114"/>
      <c r="AH413" s="1"/>
      <c r="AI413" s="95" t="str">
        <f aca="false">IF(INDEX($C:$C,413)&amp;INDEX($D:$D,413)="","",1)</f>
        <v/>
      </c>
      <c r="AJ413" s="95" t="str">
        <f aca="false">IF(OR(AI413="",INDEX($Z:$Z,413)="",INDEX($U:$U,413)="Declined"),"",1)</f>
        <v/>
      </c>
      <c r="AK413" s="95" t="str">
        <f aca="false">IF(AJ413="","",INDEX($Z:$Z,413)&amp;"-"&amp;COUNTIFS($Z$7:Z413,INDEX($Z:$Z,413),$AJ$7:AJ413,1))</f>
        <v/>
      </c>
      <c r="AL413" s="43" t="str">
        <f aca="false">IF(AI413="","",TRIM(INDEX($D:$D,413)&amp;" "&amp;INDEX($C:$C,413))&amp;IF(INDEX($I:$I,413)="Yes"," (child)",""))</f>
        <v/>
      </c>
      <c r="AM413" s="95" t="str">
        <f aca="false">IF(OR(AI413="",INDEX($X:$X,413)="",INDEX($U:$U,413)="Declined"),"",COUNTIFS($X$7:X413,"?*",$U$7:U413,"&lt;&gt;Declined",$AI$7:AI413,1))</f>
        <v/>
      </c>
      <c r="AN413" s="95" t="str">
        <f aca="false">IF(AI413="","",IF(INDEX($L:$L,413)="",1,IF(COUNTIF($L$7:L413,INDEX($L:$L,413))=1,1,"")))</f>
        <v/>
      </c>
      <c r="AO413" s="95" t="str">
        <f aca="false">IF(AN413&lt;&gt;1,"",IF(INDEX($L:$L,413)="",IF(INDEX($S:$S,413)="Yes",1,""),IF(COUNTIFS($L$7:$L$506,INDEX($L:$L,413),$S$7:$S$506,"Yes")&gt;0,1,"")))</f>
        <v/>
      </c>
      <c r="AP413" s="95" t="str">
        <f aca="false">IF(AN413&lt;&gt;1,"",IF(INDEX($L:$L,413)&lt;&gt;"",INDEX($L:$L,413),TRIM(INDEX($D:$D,413)&amp;" "&amp;INDEX($C:$C,413))))</f>
        <v/>
      </c>
      <c r="AQ413" s="43" t="str">
        <f aca="false">IF(OR(AI413="",INDEX($I:$I,413)="Yes"),"",1)</f>
        <v/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customFormat="false" ht="21.75" hidden="false" customHeight="true" outlineLevel="0" collapsed="false">
      <c r="A414" s="1"/>
      <c r="B414" s="113" t="str">
        <f aca="false">IF(AI414="","",COUNT($AI$7:AI414))</f>
        <v/>
      </c>
      <c r="C414" s="114"/>
      <c r="D414" s="114"/>
      <c r="E414" s="114"/>
      <c r="F414" s="114"/>
      <c r="G414" s="115"/>
      <c r="H414" s="115"/>
      <c r="I414" s="115"/>
      <c r="J414" s="115"/>
      <c r="K414" s="115"/>
      <c r="L414" s="114"/>
      <c r="M414" s="114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4"/>
      <c r="Y414" s="114"/>
      <c r="Z414" s="115"/>
      <c r="AA414" s="114"/>
      <c r="AB414" s="114"/>
      <c r="AC414" s="115"/>
      <c r="AD414" s="116"/>
      <c r="AE414" s="114"/>
      <c r="AF414" s="114"/>
      <c r="AG414" s="114"/>
      <c r="AH414" s="1"/>
      <c r="AI414" s="95" t="str">
        <f aca="false">IF(INDEX($C:$C,414)&amp;INDEX($D:$D,414)="","",1)</f>
        <v/>
      </c>
      <c r="AJ414" s="95" t="str">
        <f aca="false">IF(OR(AI414="",INDEX($Z:$Z,414)="",INDEX($U:$U,414)="Declined"),"",1)</f>
        <v/>
      </c>
      <c r="AK414" s="95" t="str">
        <f aca="false">IF(AJ414="","",INDEX($Z:$Z,414)&amp;"-"&amp;COUNTIFS($Z$7:Z414,INDEX($Z:$Z,414),$AJ$7:AJ414,1))</f>
        <v/>
      </c>
      <c r="AL414" s="43" t="str">
        <f aca="false">IF(AI414="","",TRIM(INDEX($D:$D,414)&amp;" "&amp;INDEX($C:$C,414))&amp;IF(INDEX($I:$I,414)="Yes"," (child)",""))</f>
        <v/>
      </c>
      <c r="AM414" s="95" t="str">
        <f aca="false">IF(OR(AI414="",INDEX($X:$X,414)="",INDEX($U:$U,414)="Declined"),"",COUNTIFS($X$7:X414,"?*",$U$7:U414,"&lt;&gt;Declined",$AI$7:AI414,1))</f>
        <v/>
      </c>
      <c r="AN414" s="95" t="str">
        <f aca="false">IF(AI414="","",IF(INDEX($L:$L,414)="",1,IF(COUNTIF($L$7:L414,INDEX($L:$L,414))=1,1,"")))</f>
        <v/>
      </c>
      <c r="AO414" s="95" t="str">
        <f aca="false">IF(AN414&lt;&gt;1,"",IF(INDEX($L:$L,414)="",IF(INDEX($S:$S,414)="Yes",1,""),IF(COUNTIFS($L$7:$L$506,INDEX($L:$L,414),$S$7:$S$506,"Yes")&gt;0,1,"")))</f>
        <v/>
      </c>
      <c r="AP414" s="95" t="str">
        <f aca="false">IF(AN414&lt;&gt;1,"",IF(INDEX($L:$L,414)&lt;&gt;"",INDEX($L:$L,414),TRIM(INDEX($D:$D,414)&amp;" "&amp;INDEX($C:$C,414))))</f>
        <v/>
      </c>
      <c r="AQ414" s="43" t="str">
        <f aca="false">IF(OR(AI414="",INDEX($I:$I,414)="Yes"),"",1)</f>
        <v/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customFormat="false" ht="21.75" hidden="false" customHeight="true" outlineLevel="0" collapsed="false">
      <c r="A415" s="1"/>
      <c r="B415" s="113" t="str">
        <f aca="false">IF(AI415="","",COUNT($AI$7:AI415))</f>
        <v/>
      </c>
      <c r="C415" s="114"/>
      <c r="D415" s="114"/>
      <c r="E415" s="114"/>
      <c r="F415" s="114"/>
      <c r="G415" s="115"/>
      <c r="H415" s="115"/>
      <c r="I415" s="115"/>
      <c r="J415" s="115"/>
      <c r="K415" s="115"/>
      <c r="L415" s="114"/>
      <c r="M415" s="114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4"/>
      <c r="Y415" s="114"/>
      <c r="Z415" s="115"/>
      <c r="AA415" s="114"/>
      <c r="AB415" s="114"/>
      <c r="AC415" s="115"/>
      <c r="AD415" s="116"/>
      <c r="AE415" s="114"/>
      <c r="AF415" s="114"/>
      <c r="AG415" s="114"/>
      <c r="AH415" s="1"/>
      <c r="AI415" s="95" t="str">
        <f aca="false">IF(INDEX($C:$C,415)&amp;INDEX($D:$D,415)="","",1)</f>
        <v/>
      </c>
      <c r="AJ415" s="95" t="str">
        <f aca="false">IF(OR(AI415="",INDEX($Z:$Z,415)="",INDEX($U:$U,415)="Declined"),"",1)</f>
        <v/>
      </c>
      <c r="AK415" s="95" t="str">
        <f aca="false">IF(AJ415="","",INDEX($Z:$Z,415)&amp;"-"&amp;COUNTIFS($Z$7:Z415,INDEX($Z:$Z,415),$AJ$7:AJ415,1))</f>
        <v/>
      </c>
      <c r="AL415" s="43" t="str">
        <f aca="false">IF(AI415="","",TRIM(INDEX($D:$D,415)&amp;" "&amp;INDEX($C:$C,415))&amp;IF(INDEX($I:$I,415)="Yes"," (child)",""))</f>
        <v/>
      </c>
      <c r="AM415" s="95" t="str">
        <f aca="false">IF(OR(AI415="",INDEX($X:$X,415)="",INDEX($U:$U,415)="Declined"),"",COUNTIFS($X$7:X415,"?*",$U$7:U415,"&lt;&gt;Declined",$AI$7:AI415,1))</f>
        <v/>
      </c>
      <c r="AN415" s="95" t="str">
        <f aca="false">IF(AI415="","",IF(INDEX($L:$L,415)="",1,IF(COUNTIF($L$7:L415,INDEX($L:$L,415))=1,1,"")))</f>
        <v/>
      </c>
      <c r="AO415" s="95" t="str">
        <f aca="false">IF(AN415&lt;&gt;1,"",IF(INDEX($L:$L,415)="",IF(INDEX($S:$S,415)="Yes",1,""),IF(COUNTIFS($L$7:$L$506,INDEX($L:$L,415),$S$7:$S$506,"Yes")&gt;0,1,"")))</f>
        <v/>
      </c>
      <c r="AP415" s="95" t="str">
        <f aca="false">IF(AN415&lt;&gt;1,"",IF(INDEX($L:$L,415)&lt;&gt;"",INDEX($L:$L,415),TRIM(INDEX($D:$D,415)&amp;" "&amp;INDEX($C:$C,415))))</f>
        <v/>
      </c>
      <c r="AQ415" s="43" t="str">
        <f aca="false">IF(OR(AI415="",INDEX($I:$I,415)="Yes"),"",1)</f>
        <v/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customFormat="false" ht="21.75" hidden="false" customHeight="true" outlineLevel="0" collapsed="false">
      <c r="A416" s="1"/>
      <c r="B416" s="113" t="str">
        <f aca="false">IF(AI416="","",COUNT($AI$7:AI416))</f>
        <v/>
      </c>
      <c r="C416" s="114"/>
      <c r="D416" s="114"/>
      <c r="E416" s="114"/>
      <c r="F416" s="114"/>
      <c r="G416" s="115"/>
      <c r="H416" s="115"/>
      <c r="I416" s="115"/>
      <c r="J416" s="115"/>
      <c r="K416" s="115"/>
      <c r="L416" s="114"/>
      <c r="M416" s="114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4"/>
      <c r="Y416" s="114"/>
      <c r="Z416" s="115"/>
      <c r="AA416" s="114"/>
      <c r="AB416" s="114"/>
      <c r="AC416" s="115"/>
      <c r="AD416" s="116"/>
      <c r="AE416" s="114"/>
      <c r="AF416" s="114"/>
      <c r="AG416" s="114"/>
      <c r="AH416" s="1"/>
      <c r="AI416" s="95" t="str">
        <f aca="false">IF(INDEX($C:$C,416)&amp;INDEX($D:$D,416)="","",1)</f>
        <v/>
      </c>
      <c r="AJ416" s="95" t="str">
        <f aca="false">IF(OR(AI416="",INDEX($Z:$Z,416)="",INDEX($U:$U,416)="Declined"),"",1)</f>
        <v/>
      </c>
      <c r="AK416" s="95" t="str">
        <f aca="false">IF(AJ416="","",INDEX($Z:$Z,416)&amp;"-"&amp;COUNTIFS($Z$7:Z416,INDEX($Z:$Z,416),$AJ$7:AJ416,1))</f>
        <v/>
      </c>
      <c r="AL416" s="43" t="str">
        <f aca="false">IF(AI416="","",TRIM(INDEX($D:$D,416)&amp;" "&amp;INDEX($C:$C,416))&amp;IF(INDEX($I:$I,416)="Yes"," (child)",""))</f>
        <v/>
      </c>
      <c r="AM416" s="95" t="str">
        <f aca="false">IF(OR(AI416="",INDEX($X:$X,416)="",INDEX($U:$U,416)="Declined"),"",COUNTIFS($X$7:X416,"?*",$U$7:U416,"&lt;&gt;Declined",$AI$7:AI416,1))</f>
        <v/>
      </c>
      <c r="AN416" s="95" t="str">
        <f aca="false">IF(AI416="","",IF(INDEX($L:$L,416)="",1,IF(COUNTIF($L$7:L416,INDEX($L:$L,416))=1,1,"")))</f>
        <v/>
      </c>
      <c r="AO416" s="95" t="str">
        <f aca="false">IF(AN416&lt;&gt;1,"",IF(INDEX($L:$L,416)="",IF(INDEX($S:$S,416)="Yes",1,""),IF(COUNTIFS($L$7:$L$506,INDEX($L:$L,416),$S$7:$S$506,"Yes")&gt;0,1,"")))</f>
        <v/>
      </c>
      <c r="AP416" s="95" t="str">
        <f aca="false">IF(AN416&lt;&gt;1,"",IF(INDEX($L:$L,416)&lt;&gt;"",INDEX($L:$L,416),TRIM(INDEX($D:$D,416)&amp;" "&amp;INDEX($C:$C,416))))</f>
        <v/>
      </c>
      <c r="AQ416" s="43" t="str">
        <f aca="false">IF(OR(AI416="",INDEX($I:$I,416)="Yes"),"",1)</f>
        <v/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customFormat="false" ht="21.75" hidden="false" customHeight="true" outlineLevel="0" collapsed="false">
      <c r="A417" s="1"/>
      <c r="B417" s="113" t="str">
        <f aca="false">IF(AI417="","",COUNT($AI$7:AI417))</f>
        <v/>
      </c>
      <c r="C417" s="114"/>
      <c r="D417" s="114"/>
      <c r="E417" s="114"/>
      <c r="F417" s="114"/>
      <c r="G417" s="115"/>
      <c r="H417" s="115"/>
      <c r="I417" s="115"/>
      <c r="J417" s="115"/>
      <c r="K417" s="115"/>
      <c r="L417" s="114"/>
      <c r="M417" s="114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4"/>
      <c r="Y417" s="114"/>
      <c r="Z417" s="115"/>
      <c r="AA417" s="114"/>
      <c r="AB417" s="114"/>
      <c r="AC417" s="115"/>
      <c r="AD417" s="116"/>
      <c r="AE417" s="114"/>
      <c r="AF417" s="114"/>
      <c r="AG417" s="114"/>
      <c r="AH417" s="1"/>
      <c r="AI417" s="95" t="str">
        <f aca="false">IF(INDEX($C:$C,417)&amp;INDEX($D:$D,417)="","",1)</f>
        <v/>
      </c>
      <c r="AJ417" s="95" t="str">
        <f aca="false">IF(OR(AI417="",INDEX($Z:$Z,417)="",INDEX($U:$U,417)="Declined"),"",1)</f>
        <v/>
      </c>
      <c r="AK417" s="95" t="str">
        <f aca="false">IF(AJ417="","",INDEX($Z:$Z,417)&amp;"-"&amp;COUNTIFS($Z$7:Z417,INDEX($Z:$Z,417),$AJ$7:AJ417,1))</f>
        <v/>
      </c>
      <c r="AL417" s="43" t="str">
        <f aca="false">IF(AI417="","",TRIM(INDEX($D:$D,417)&amp;" "&amp;INDEX($C:$C,417))&amp;IF(INDEX($I:$I,417)="Yes"," (child)",""))</f>
        <v/>
      </c>
      <c r="AM417" s="95" t="str">
        <f aca="false">IF(OR(AI417="",INDEX($X:$X,417)="",INDEX($U:$U,417)="Declined"),"",COUNTIFS($X$7:X417,"?*",$U$7:U417,"&lt;&gt;Declined",$AI$7:AI417,1))</f>
        <v/>
      </c>
      <c r="AN417" s="95" t="str">
        <f aca="false">IF(AI417="","",IF(INDEX($L:$L,417)="",1,IF(COUNTIF($L$7:L417,INDEX($L:$L,417))=1,1,"")))</f>
        <v/>
      </c>
      <c r="AO417" s="95" t="str">
        <f aca="false">IF(AN417&lt;&gt;1,"",IF(INDEX($L:$L,417)="",IF(INDEX($S:$S,417)="Yes",1,""),IF(COUNTIFS($L$7:$L$506,INDEX($L:$L,417),$S$7:$S$506,"Yes")&gt;0,1,"")))</f>
        <v/>
      </c>
      <c r="AP417" s="95" t="str">
        <f aca="false">IF(AN417&lt;&gt;1,"",IF(INDEX($L:$L,417)&lt;&gt;"",INDEX($L:$L,417),TRIM(INDEX($D:$D,417)&amp;" "&amp;INDEX($C:$C,417))))</f>
        <v/>
      </c>
      <c r="AQ417" s="43" t="str">
        <f aca="false">IF(OR(AI417="",INDEX($I:$I,417)="Yes"),"",1)</f>
        <v/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customFormat="false" ht="21.75" hidden="false" customHeight="true" outlineLevel="0" collapsed="false">
      <c r="A418" s="1"/>
      <c r="B418" s="113" t="str">
        <f aca="false">IF(AI418="","",COUNT($AI$7:AI418))</f>
        <v/>
      </c>
      <c r="C418" s="114"/>
      <c r="D418" s="114"/>
      <c r="E418" s="114"/>
      <c r="F418" s="114"/>
      <c r="G418" s="115"/>
      <c r="H418" s="115"/>
      <c r="I418" s="115"/>
      <c r="J418" s="115"/>
      <c r="K418" s="115"/>
      <c r="L418" s="114"/>
      <c r="M418" s="114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4"/>
      <c r="Y418" s="114"/>
      <c r="Z418" s="115"/>
      <c r="AA418" s="114"/>
      <c r="AB418" s="114"/>
      <c r="AC418" s="115"/>
      <c r="AD418" s="116"/>
      <c r="AE418" s="114"/>
      <c r="AF418" s="114"/>
      <c r="AG418" s="114"/>
      <c r="AH418" s="1"/>
      <c r="AI418" s="95" t="str">
        <f aca="false">IF(INDEX($C:$C,418)&amp;INDEX($D:$D,418)="","",1)</f>
        <v/>
      </c>
      <c r="AJ418" s="95" t="str">
        <f aca="false">IF(OR(AI418="",INDEX($Z:$Z,418)="",INDEX($U:$U,418)="Declined"),"",1)</f>
        <v/>
      </c>
      <c r="AK418" s="95" t="str">
        <f aca="false">IF(AJ418="","",INDEX($Z:$Z,418)&amp;"-"&amp;COUNTIFS($Z$7:Z418,INDEX($Z:$Z,418),$AJ$7:AJ418,1))</f>
        <v/>
      </c>
      <c r="AL418" s="43" t="str">
        <f aca="false">IF(AI418="","",TRIM(INDEX($D:$D,418)&amp;" "&amp;INDEX($C:$C,418))&amp;IF(INDEX($I:$I,418)="Yes"," (child)",""))</f>
        <v/>
      </c>
      <c r="AM418" s="95" t="str">
        <f aca="false">IF(OR(AI418="",INDEX($X:$X,418)="",INDEX($U:$U,418)="Declined"),"",COUNTIFS($X$7:X418,"?*",$U$7:U418,"&lt;&gt;Declined",$AI$7:AI418,1))</f>
        <v/>
      </c>
      <c r="AN418" s="95" t="str">
        <f aca="false">IF(AI418="","",IF(INDEX($L:$L,418)="",1,IF(COUNTIF($L$7:L418,INDEX($L:$L,418))=1,1,"")))</f>
        <v/>
      </c>
      <c r="AO418" s="95" t="str">
        <f aca="false">IF(AN418&lt;&gt;1,"",IF(INDEX($L:$L,418)="",IF(INDEX($S:$S,418)="Yes",1,""),IF(COUNTIFS($L$7:$L$506,INDEX($L:$L,418),$S$7:$S$506,"Yes")&gt;0,1,"")))</f>
        <v/>
      </c>
      <c r="AP418" s="95" t="str">
        <f aca="false">IF(AN418&lt;&gt;1,"",IF(INDEX($L:$L,418)&lt;&gt;"",INDEX($L:$L,418),TRIM(INDEX($D:$D,418)&amp;" "&amp;INDEX($C:$C,418))))</f>
        <v/>
      </c>
      <c r="AQ418" s="43" t="str">
        <f aca="false">IF(OR(AI418="",INDEX($I:$I,418)="Yes"),"",1)</f>
        <v/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customFormat="false" ht="21.75" hidden="false" customHeight="true" outlineLevel="0" collapsed="false">
      <c r="A419" s="1"/>
      <c r="B419" s="113" t="str">
        <f aca="false">IF(AI419="","",COUNT($AI$7:AI419))</f>
        <v/>
      </c>
      <c r="C419" s="114"/>
      <c r="D419" s="114"/>
      <c r="E419" s="114"/>
      <c r="F419" s="114"/>
      <c r="G419" s="115"/>
      <c r="H419" s="115"/>
      <c r="I419" s="115"/>
      <c r="J419" s="115"/>
      <c r="K419" s="115"/>
      <c r="L419" s="114"/>
      <c r="M419" s="114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4"/>
      <c r="Y419" s="114"/>
      <c r="Z419" s="115"/>
      <c r="AA419" s="114"/>
      <c r="AB419" s="114"/>
      <c r="AC419" s="115"/>
      <c r="AD419" s="116"/>
      <c r="AE419" s="114"/>
      <c r="AF419" s="114"/>
      <c r="AG419" s="114"/>
      <c r="AH419" s="1"/>
      <c r="AI419" s="95" t="str">
        <f aca="false">IF(INDEX($C:$C,419)&amp;INDEX($D:$D,419)="","",1)</f>
        <v/>
      </c>
      <c r="AJ419" s="95" t="str">
        <f aca="false">IF(OR(AI419="",INDEX($Z:$Z,419)="",INDEX($U:$U,419)="Declined"),"",1)</f>
        <v/>
      </c>
      <c r="AK419" s="95" t="str">
        <f aca="false">IF(AJ419="","",INDEX($Z:$Z,419)&amp;"-"&amp;COUNTIFS($Z$7:Z419,INDEX($Z:$Z,419),$AJ$7:AJ419,1))</f>
        <v/>
      </c>
      <c r="AL419" s="43" t="str">
        <f aca="false">IF(AI419="","",TRIM(INDEX($D:$D,419)&amp;" "&amp;INDEX($C:$C,419))&amp;IF(INDEX($I:$I,419)="Yes"," (child)",""))</f>
        <v/>
      </c>
      <c r="AM419" s="95" t="str">
        <f aca="false">IF(OR(AI419="",INDEX($X:$X,419)="",INDEX($U:$U,419)="Declined"),"",COUNTIFS($X$7:X419,"?*",$U$7:U419,"&lt;&gt;Declined",$AI$7:AI419,1))</f>
        <v/>
      </c>
      <c r="AN419" s="95" t="str">
        <f aca="false">IF(AI419="","",IF(INDEX($L:$L,419)="",1,IF(COUNTIF($L$7:L419,INDEX($L:$L,419))=1,1,"")))</f>
        <v/>
      </c>
      <c r="AO419" s="95" t="str">
        <f aca="false">IF(AN419&lt;&gt;1,"",IF(INDEX($L:$L,419)="",IF(INDEX($S:$S,419)="Yes",1,""),IF(COUNTIFS($L$7:$L$506,INDEX($L:$L,419),$S$7:$S$506,"Yes")&gt;0,1,"")))</f>
        <v/>
      </c>
      <c r="AP419" s="95" t="str">
        <f aca="false">IF(AN419&lt;&gt;1,"",IF(INDEX($L:$L,419)&lt;&gt;"",INDEX($L:$L,419),TRIM(INDEX($D:$D,419)&amp;" "&amp;INDEX($C:$C,419))))</f>
        <v/>
      </c>
      <c r="AQ419" s="43" t="str">
        <f aca="false">IF(OR(AI419="",INDEX($I:$I,419)="Yes"),"",1)</f>
        <v/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customFormat="false" ht="21.75" hidden="false" customHeight="true" outlineLevel="0" collapsed="false">
      <c r="A420" s="1"/>
      <c r="B420" s="113" t="str">
        <f aca="false">IF(AI420="","",COUNT($AI$7:AI420))</f>
        <v/>
      </c>
      <c r="C420" s="114"/>
      <c r="D420" s="114"/>
      <c r="E420" s="114"/>
      <c r="F420" s="114"/>
      <c r="G420" s="115"/>
      <c r="H420" s="115"/>
      <c r="I420" s="115"/>
      <c r="J420" s="115"/>
      <c r="K420" s="115"/>
      <c r="L420" s="114"/>
      <c r="M420" s="114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4"/>
      <c r="Y420" s="114"/>
      <c r="Z420" s="115"/>
      <c r="AA420" s="114"/>
      <c r="AB420" s="114"/>
      <c r="AC420" s="115"/>
      <c r="AD420" s="116"/>
      <c r="AE420" s="114"/>
      <c r="AF420" s="114"/>
      <c r="AG420" s="114"/>
      <c r="AH420" s="1"/>
      <c r="AI420" s="95" t="str">
        <f aca="false">IF(INDEX($C:$C,420)&amp;INDEX($D:$D,420)="","",1)</f>
        <v/>
      </c>
      <c r="AJ420" s="95" t="str">
        <f aca="false">IF(OR(AI420="",INDEX($Z:$Z,420)="",INDEX($U:$U,420)="Declined"),"",1)</f>
        <v/>
      </c>
      <c r="AK420" s="95" t="str">
        <f aca="false">IF(AJ420="","",INDEX($Z:$Z,420)&amp;"-"&amp;COUNTIFS($Z$7:Z420,INDEX($Z:$Z,420),$AJ$7:AJ420,1))</f>
        <v/>
      </c>
      <c r="AL420" s="43" t="str">
        <f aca="false">IF(AI420="","",TRIM(INDEX($D:$D,420)&amp;" "&amp;INDEX($C:$C,420))&amp;IF(INDEX($I:$I,420)="Yes"," (child)",""))</f>
        <v/>
      </c>
      <c r="AM420" s="95" t="str">
        <f aca="false">IF(OR(AI420="",INDEX($X:$X,420)="",INDEX($U:$U,420)="Declined"),"",COUNTIFS($X$7:X420,"?*",$U$7:U420,"&lt;&gt;Declined",$AI$7:AI420,1))</f>
        <v/>
      </c>
      <c r="AN420" s="95" t="str">
        <f aca="false">IF(AI420="","",IF(INDEX($L:$L,420)="",1,IF(COUNTIF($L$7:L420,INDEX($L:$L,420))=1,1,"")))</f>
        <v/>
      </c>
      <c r="AO420" s="95" t="str">
        <f aca="false">IF(AN420&lt;&gt;1,"",IF(INDEX($L:$L,420)="",IF(INDEX($S:$S,420)="Yes",1,""),IF(COUNTIFS($L$7:$L$506,INDEX($L:$L,420),$S$7:$S$506,"Yes")&gt;0,1,"")))</f>
        <v/>
      </c>
      <c r="AP420" s="95" t="str">
        <f aca="false">IF(AN420&lt;&gt;1,"",IF(INDEX($L:$L,420)&lt;&gt;"",INDEX($L:$L,420),TRIM(INDEX($D:$D,420)&amp;" "&amp;INDEX($C:$C,420))))</f>
        <v/>
      </c>
      <c r="AQ420" s="43" t="str">
        <f aca="false">IF(OR(AI420="",INDEX($I:$I,420)="Yes"),"",1)</f>
        <v/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customFormat="false" ht="21.75" hidden="false" customHeight="true" outlineLevel="0" collapsed="false">
      <c r="A421" s="1"/>
      <c r="B421" s="113" t="str">
        <f aca="false">IF(AI421="","",COUNT($AI$7:AI421))</f>
        <v/>
      </c>
      <c r="C421" s="114"/>
      <c r="D421" s="114"/>
      <c r="E421" s="114"/>
      <c r="F421" s="114"/>
      <c r="G421" s="115"/>
      <c r="H421" s="115"/>
      <c r="I421" s="115"/>
      <c r="J421" s="115"/>
      <c r="K421" s="115"/>
      <c r="L421" s="114"/>
      <c r="M421" s="114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4"/>
      <c r="Y421" s="114"/>
      <c r="Z421" s="115"/>
      <c r="AA421" s="114"/>
      <c r="AB421" s="114"/>
      <c r="AC421" s="115"/>
      <c r="AD421" s="116"/>
      <c r="AE421" s="114"/>
      <c r="AF421" s="114"/>
      <c r="AG421" s="114"/>
      <c r="AH421" s="1"/>
      <c r="AI421" s="95" t="str">
        <f aca="false">IF(INDEX($C:$C,421)&amp;INDEX($D:$D,421)="","",1)</f>
        <v/>
      </c>
      <c r="AJ421" s="95" t="str">
        <f aca="false">IF(OR(AI421="",INDEX($Z:$Z,421)="",INDEX($U:$U,421)="Declined"),"",1)</f>
        <v/>
      </c>
      <c r="AK421" s="95" t="str">
        <f aca="false">IF(AJ421="","",INDEX($Z:$Z,421)&amp;"-"&amp;COUNTIFS($Z$7:Z421,INDEX($Z:$Z,421),$AJ$7:AJ421,1))</f>
        <v/>
      </c>
      <c r="AL421" s="43" t="str">
        <f aca="false">IF(AI421="","",TRIM(INDEX($D:$D,421)&amp;" "&amp;INDEX($C:$C,421))&amp;IF(INDEX($I:$I,421)="Yes"," (child)",""))</f>
        <v/>
      </c>
      <c r="AM421" s="95" t="str">
        <f aca="false">IF(OR(AI421="",INDEX($X:$X,421)="",INDEX($U:$U,421)="Declined"),"",COUNTIFS($X$7:X421,"?*",$U$7:U421,"&lt;&gt;Declined",$AI$7:AI421,1))</f>
        <v/>
      </c>
      <c r="AN421" s="95" t="str">
        <f aca="false">IF(AI421="","",IF(INDEX($L:$L,421)="",1,IF(COUNTIF($L$7:L421,INDEX($L:$L,421))=1,1,"")))</f>
        <v/>
      </c>
      <c r="AO421" s="95" t="str">
        <f aca="false">IF(AN421&lt;&gt;1,"",IF(INDEX($L:$L,421)="",IF(INDEX($S:$S,421)="Yes",1,""),IF(COUNTIFS($L$7:$L$506,INDEX($L:$L,421),$S$7:$S$506,"Yes")&gt;0,1,"")))</f>
        <v/>
      </c>
      <c r="AP421" s="95" t="str">
        <f aca="false">IF(AN421&lt;&gt;1,"",IF(INDEX($L:$L,421)&lt;&gt;"",INDEX($L:$L,421),TRIM(INDEX($D:$D,421)&amp;" "&amp;INDEX($C:$C,421))))</f>
        <v/>
      </c>
      <c r="AQ421" s="43" t="str">
        <f aca="false">IF(OR(AI421="",INDEX($I:$I,421)="Yes"),"",1)</f>
        <v/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customFormat="false" ht="21.75" hidden="false" customHeight="true" outlineLevel="0" collapsed="false">
      <c r="A422" s="1"/>
      <c r="B422" s="113" t="str">
        <f aca="false">IF(AI422="","",COUNT($AI$7:AI422))</f>
        <v/>
      </c>
      <c r="C422" s="114"/>
      <c r="D422" s="114"/>
      <c r="E422" s="114"/>
      <c r="F422" s="114"/>
      <c r="G422" s="115"/>
      <c r="H422" s="115"/>
      <c r="I422" s="115"/>
      <c r="J422" s="115"/>
      <c r="K422" s="115"/>
      <c r="L422" s="114"/>
      <c r="M422" s="114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4"/>
      <c r="Y422" s="114"/>
      <c r="Z422" s="115"/>
      <c r="AA422" s="114"/>
      <c r="AB422" s="114"/>
      <c r="AC422" s="115"/>
      <c r="AD422" s="116"/>
      <c r="AE422" s="114"/>
      <c r="AF422" s="114"/>
      <c r="AG422" s="114"/>
      <c r="AH422" s="1"/>
      <c r="AI422" s="95" t="str">
        <f aca="false">IF(INDEX($C:$C,422)&amp;INDEX($D:$D,422)="","",1)</f>
        <v/>
      </c>
      <c r="AJ422" s="95" t="str">
        <f aca="false">IF(OR(AI422="",INDEX($Z:$Z,422)="",INDEX($U:$U,422)="Declined"),"",1)</f>
        <v/>
      </c>
      <c r="AK422" s="95" t="str">
        <f aca="false">IF(AJ422="","",INDEX($Z:$Z,422)&amp;"-"&amp;COUNTIFS($Z$7:Z422,INDEX($Z:$Z,422),$AJ$7:AJ422,1))</f>
        <v/>
      </c>
      <c r="AL422" s="43" t="str">
        <f aca="false">IF(AI422="","",TRIM(INDEX($D:$D,422)&amp;" "&amp;INDEX($C:$C,422))&amp;IF(INDEX($I:$I,422)="Yes"," (child)",""))</f>
        <v/>
      </c>
      <c r="AM422" s="95" t="str">
        <f aca="false">IF(OR(AI422="",INDEX($X:$X,422)="",INDEX($U:$U,422)="Declined"),"",COUNTIFS($X$7:X422,"?*",$U$7:U422,"&lt;&gt;Declined",$AI$7:AI422,1))</f>
        <v/>
      </c>
      <c r="AN422" s="95" t="str">
        <f aca="false">IF(AI422="","",IF(INDEX($L:$L,422)="",1,IF(COUNTIF($L$7:L422,INDEX($L:$L,422))=1,1,"")))</f>
        <v/>
      </c>
      <c r="AO422" s="95" t="str">
        <f aca="false">IF(AN422&lt;&gt;1,"",IF(INDEX($L:$L,422)="",IF(INDEX($S:$S,422)="Yes",1,""),IF(COUNTIFS($L$7:$L$506,INDEX($L:$L,422),$S$7:$S$506,"Yes")&gt;0,1,"")))</f>
        <v/>
      </c>
      <c r="AP422" s="95" t="str">
        <f aca="false">IF(AN422&lt;&gt;1,"",IF(INDEX($L:$L,422)&lt;&gt;"",INDEX($L:$L,422),TRIM(INDEX($D:$D,422)&amp;" "&amp;INDEX($C:$C,422))))</f>
        <v/>
      </c>
      <c r="AQ422" s="43" t="str">
        <f aca="false">IF(OR(AI422="",INDEX($I:$I,422)="Yes"),"",1)</f>
        <v/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customFormat="false" ht="21.75" hidden="false" customHeight="true" outlineLevel="0" collapsed="false">
      <c r="A423" s="1"/>
      <c r="B423" s="113" t="str">
        <f aca="false">IF(AI423="","",COUNT($AI$7:AI423))</f>
        <v/>
      </c>
      <c r="C423" s="114"/>
      <c r="D423" s="114"/>
      <c r="E423" s="114"/>
      <c r="F423" s="114"/>
      <c r="G423" s="115"/>
      <c r="H423" s="115"/>
      <c r="I423" s="115"/>
      <c r="J423" s="115"/>
      <c r="K423" s="115"/>
      <c r="L423" s="114"/>
      <c r="M423" s="114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4"/>
      <c r="Y423" s="114"/>
      <c r="Z423" s="115"/>
      <c r="AA423" s="114"/>
      <c r="AB423" s="114"/>
      <c r="AC423" s="115"/>
      <c r="AD423" s="116"/>
      <c r="AE423" s="114"/>
      <c r="AF423" s="114"/>
      <c r="AG423" s="114"/>
      <c r="AH423" s="1"/>
      <c r="AI423" s="95" t="str">
        <f aca="false">IF(INDEX($C:$C,423)&amp;INDEX($D:$D,423)="","",1)</f>
        <v/>
      </c>
      <c r="AJ423" s="95" t="str">
        <f aca="false">IF(OR(AI423="",INDEX($Z:$Z,423)="",INDEX($U:$U,423)="Declined"),"",1)</f>
        <v/>
      </c>
      <c r="AK423" s="95" t="str">
        <f aca="false">IF(AJ423="","",INDEX($Z:$Z,423)&amp;"-"&amp;COUNTIFS($Z$7:Z423,INDEX($Z:$Z,423),$AJ$7:AJ423,1))</f>
        <v/>
      </c>
      <c r="AL423" s="43" t="str">
        <f aca="false">IF(AI423="","",TRIM(INDEX($D:$D,423)&amp;" "&amp;INDEX($C:$C,423))&amp;IF(INDEX($I:$I,423)="Yes"," (child)",""))</f>
        <v/>
      </c>
      <c r="AM423" s="95" t="str">
        <f aca="false">IF(OR(AI423="",INDEX($X:$X,423)="",INDEX($U:$U,423)="Declined"),"",COUNTIFS($X$7:X423,"?*",$U$7:U423,"&lt;&gt;Declined",$AI$7:AI423,1))</f>
        <v/>
      </c>
      <c r="AN423" s="95" t="str">
        <f aca="false">IF(AI423="","",IF(INDEX($L:$L,423)="",1,IF(COUNTIF($L$7:L423,INDEX($L:$L,423))=1,1,"")))</f>
        <v/>
      </c>
      <c r="AO423" s="95" t="str">
        <f aca="false">IF(AN423&lt;&gt;1,"",IF(INDEX($L:$L,423)="",IF(INDEX($S:$S,423)="Yes",1,""),IF(COUNTIFS($L$7:$L$506,INDEX($L:$L,423),$S$7:$S$506,"Yes")&gt;0,1,"")))</f>
        <v/>
      </c>
      <c r="AP423" s="95" t="str">
        <f aca="false">IF(AN423&lt;&gt;1,"",IF(INDEX($L:$L,423)&lt;&gt;"",INDEX($L:$L,423),TRIM(INDEX($D:$D,423)&amp;" "&amp;INDEX($C:$C,423))))</f>
        <v/>
      </c>
      <c r="AQ423" s="43" t="str">
        <f aca="false">IF(OR(AI423="",INDEX($I:$I,423)="Yes"),"",1)</f>
        <v/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customFormat="false" ht="21.75" hidden="false" customHeight="true" outlineLevel="0" collapsed="false">
      <c r="A424" s="1"/>
      <c r="B424" s="113" t="str">
        <f aca="false">IF(AI424="","",COUNT($AI$7:AI424))</f>
        <v/>
      </c>
      <c r="C424" s="114"/>
      <c r="D424" s="114"/>
      <c r="E424" s="114"/>
      <c r="F424" s="114"/>
      <c r="G424" s="115"/>
      <c r="H424" s="115"/>
      <c r="I424" s="115"/>
      <c r="J424" s="115"/>
      <c r="K424" s="115"/>
      <c r="L424" s="114"/>
      <c r="M424" s="114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4"/>
      <c r="Y424" s="114"/>
      <c r="Z424" s="115"/>
      <c r="AA424" s="114"/>
      <c r="AB424" s="114"/>
      <c r="AC424" s="115"/>
      <c r="AD424" s="116"/>
      <c r="AE424" s="114"/>
      <c r="AF424" s="114"/>
      <c r="AG424" s="114"/>
      <c r="AH424" s="1"/>
      <c r="AI424" s="95" t="str">
        <f aca="false">IF(INDEX($C:$C,424)&amp;INDEX($D:$D,424)="","",1)</f>
        <v/>
      </c>
      <c r="AJ424" s="95" t="str">
        <f aca="false">IF(OR(AI424="",INDEX($Z:$Z,424)="",INDEX($U:$U,424)="Declined"),"",1)</f>
        <v/>
      </c>
      <c r="AK424" s="95" t="str">
        <f aca="false">IF(AJ424="","",INDEX($Z:$Z,424)&amp;"-"&amp;COUNTIFS($Z$7:Z424,INDEX($Z:$Z,424),$AJ$7:AJ424,1))</f>
        <v/>
      </c>
      <c r="AL424" s="43" t="str">
        <f aca="false">IF(AI424="","",TRIM(INDEX($D:$D,424)&amp;" "&amp;INDEX($C:$C,424))&amp;IF(INDEX($I:$I,424)="Yes"," (child)",""))</f>
        <v/>
      </c>
      <c r="AM424" s="95" t="str">
        <f aca="false">IF(OR(AI424="",INDEX($X:$X,424)="",INDEX($U:$U,424)="Declined"),"",COUNTIFS($X$7:X424,"?*",$U$7:U424,"&lt;&gt;Declined",$AI$7:AI424,1))</f>
        <v/>
      </c>
      <c r="AN424" s="95" t="str">
        <f aca="false">IF(AI424="","",IF(INDEX($L:$L,424)="",1,IF(COUNTIF($L$7:L424,INDEX($L:$L,424))=1,1,"")))</f>
        <v/>
      </c>
      <c r="AO424" s="95" t="str">
        <f aca="false">IF(AN424&lt;&gt;1,"",IF(INDEX($L:$L,424)="",IF(INDEX($S:$S,424)="Yes",1,""),IF(COUNTIFS($L$7:$L$506,INDEX($L:$L,424),$S$7:$S$506,"Yes")&gt;0,1,"")))</f>
        <v/>
      </c>
      <c r="AP424" s="95" t="str">
        <f aca="false">IF(AN424&lt;&gt;1,"",IF(INDEX($L:$L,424)&lt;&gt;"",INDEX($L:$L,424),TRIM(INDEX($D:$D,424)&amp;" "&amp;INDEX($C:$C,424))))</f>
        <v/>
      </c>
      <c r="AQ424" s="43" t="str">
        <f aca="false">IF(OR(AI424="",INDEX($I:$I,424)="Yes"),"",1)</f>
        <v/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customFormat="false" ht="21.75" hidden="false" customHeight="true" outlineLevel="0" collapsed="false">
      <c r="A425" s="1"/>
      <c r="B425" s="113" t="str">
        <f aca="false">IF(AI425="","",COUNT($AI$7:AI425))</f>
        <v/>
      </c>
      <c r="C425" s="114"/>
      <c r="D425" s="114"/>
      <c r="E425" s="114"/>
      <c r="F425" s="114"/>
      <c r="G425" s="115"/>
      <c r="H425" s="115"/>
      <c r="I425" s="115"/>
      <c r="J425" s="115"/>
      <c r="K425" s="115"/>
      <c r="L425" s="114"/>
      <c r="M425" s="114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4"/>
      <c r="Y425" s="114"/>
      <c r="Z425" s="115"/>
      <c r="AA425" s="114"/>
      <c r="AB425" s="114"/>
      <c r="AC425" s="115"/>
      <c r="AD425" s="116"/>
      <c r="AE425" s="114"/>
      <c r="AF425" s="114"/>
      <c r="AG425" s="114"/>
      <c r="AH425" s="1"/>
      <c r="AI425" s="95" t="str">
        <f aca="false">IF(INDEX($C:$C,425)&amp;INDEX($D:$D,425)="","",1)</f>
        <v/>
      </c>
      <c r="AJ425" s="95" t="str">
        <f aca="false">IF(OR(AI425="",INDEX($Z:$Z,425)="",INDEX($U:$U,425)="Declined"),"",1)</f>
        <v/>
      </c>
      <c r="AK425" s="95" t="str">
        <f aca="false">IF(AJ425="","",INDEX($Z:$Z,425)&amp;"-"&amp;COUNTIFS($Z$7:Z425,INDEX($Z:$Z,425),$AJ$7:AJ425,1))</f>
        <v/>
      </c>
      <c r="AL425" s="43" t="str">
        <f aca="false">IF(AI425="","",TRIM(INDEX($D:$D,425)&amp;" "&amp;INDEX($C:$C,425))&amp;IF(INDEX($I:$I,425)="Yes"," (child)",""))</f>
        <v/>
      </c>
      <c r="AM425" s="95" t="str">
        <f aca="false">IF(OR(AI425="",INDEX($X:$X,425)="",INDEX($U:$U,425)="Declined"),"",COUNTIFS($X$7:X425,"?*",$U$7:U425,"&lt;&gt;Declined",$AI$7:AI425,1))</f>
        <v/>
      </c>
      <c r="AN425" s="95" t="str">
        <f aca="false">IF(AI425="","",IF(INDEX($L:$L,425)="",1,IF(COUNTIF($L$7:L425,INDEX($L:$L,425))=1,1,"")))</f>
        <v/>
      </c>
      <c r="AO425" s="95" t="str">
        <f aca="false">IF(AN425&lt;&gt;1,"",IF(INDEX($L:$L,425)="",IF(INDEX($S:$S,425)="Yes",1,""),IF(COUNTIFS($L$7:$L$506,INDEX($L:$L,425),$S$7:$S$506,"Yes")&gt;0,1,"")))</f>
        <v/>
      </c>
      <c r="AP425" s="95" t="str">
        <f aca="false">IF(AN425&lt;&gt;1,"",IF(INDEX($L:$L,425)&lt;&gt;"",INDEX($L:$L,425),TRIM(INDEX($D:$D,425)&amp;" "&amp;INDEX($C:$C,425))))</f>
        <v/>
      </c>
      <c r="AQ425" s="43" t="str">
        <f aca="false">IF(OR(AI425="",INDEX($I:$I,425)="Yes"),"",1)</f>
        <v/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customFormat="false" ht="21.75" hidden="false" customHeight="true" outlineLevel="0" collapsed="false">
      <c r="A426" s="1"/>
      <c r="B426" s="113" t="str">
        <f aca="false">IF(AI426="","",COUNT($AI$7:AI426))</f>
        <v/>
      </c>
      <c r="C426" s="114"/>
      <c r="D426" s="114"/>
      <c r="E426" s="114"/>
      <c r="F426" s="114"/>
      <c r="G426" s="115"/>
      <c r="H426" s="115"/>
      <c r="I426" s="115"/>
      <c r="J426" s="115"/>
      <c r="K426" s="115"/>
      <c r="L426" s="114"/>
      <c r="M426" s="114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4"/>
      <c r="Y426" s="114"/>
      <c r="Z426" s="115"/>
      <c r="AA426" s="114"/>
      <c r="AB426" s="114"/>
      <c r="AC426" s="115"/>
      <c r="AD426" s="116"/>
      <c r="AE426" s="114"/>
      <c r="AF426" s="114"/>
      <c r="AG426" s="114"/>
      <c r="AH426" s="1"/>
      <c r="AI426" s="95" t="str">
        <f aca="false">IF(INDEX($C:$C,426)&amp;INDEX($D:$D,426)="","",1)</f>
        <v/>
      </c>
      <c r="AJ426" s="95" t="str">
        <f aca="false">IF(OR(AI426="",INDEX($Z:$Z,426)="",INDEX($U:$U,426)="Declined"),"",1)</f>
        <v/>
      </c>
      <c r="AK426" s="95" t="str">
        <f aca="false">IF(AJ426="","",INDEX($Z:$Z,426)&amp;"-"&amp;COUNTIFS($Z$7:Z426,INDEX($Z:$Z,426),$AJ$7:AJ426,1))</f>
        <v/>
      </c>
      <c r="AL426" s="43" t="str">
        <f aca="false">IF(AI426="","",TRIM(INDEX($D:$D,426)&amp;" "&amp;INDEX($C:$C,426))&amp;IF(INDEX($I:$I,426)="Yes"," (child)",""))</f>
        <v/>
      </c>
      <c r="AM426" s="95" t="str">
        <f aca="false">IF(OR(AI426="",INDEX($X:$X,426)="",INDEX($U:$U,426)="Declined"),"",COUNTIFS($X$7:X426,"?*",$U$7:U426,"&lt;&gt;Declined",$AI$7:AI426,1))</f>
        <v/>
      </c>
      <c r="AN426" s="95" t="str">
        <f aca="false">IF(AI426="","",IF(INDEX($L:$L,426)="",1,IF(COUNTIF($L$7:L426,INDEX($L:$L,426))=1,1,"")))</f>
        <v/>
      </c>
      <c r="AO426" s="95" t="str">
        <f aca="false">IF(AN426&lt;&gt;1,"",IF(INDEX($L:$L,426)="",IF(INDEX($S:$S,426)="Yes",1,""),IF(COUNTIFS($L$7:$L$506,INDEX($L:$L,426),$S$7:$S$506,"Yes")&gt;0,1,"")))</f>
        <v/>
      </c>
      <c r="AP426" s="95" t="str">
        <f aca="false">IF(AN426&lt;&gt;1,"",IF(INDEX($L:$L,426)&lt;&gt;"",INDEX($L:$L,426),TRIM(INDEX($D:$D,426)&amp;" "&amp;INDEX($C:$C,426))))</f>
        <v/>
      </c>
      <c r="AQ426" s="43" t="str">
        <f aca="false">IF(OR(AI426="",INDEX($I:$I,426)="Yes"),"",1)</f>
        <v/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customFormat="false" ht="21.75" hidden="false" customHeight="true" outlineLevel="0" collapsed="false">
      <c r="A427" s="1"/>
      <c r="B427" s="113" t="str">
        <f aca="false">IF(AI427="","",COUNT($AI$7:AI427))</f>
        <v/>
      </c>
      <c r="C427" s="114"/>
      <c r="D427" s="114"/>
      <c r="E427" s="114"/>
      <c r="F427" s="114"/>
      <c r="G427" s="115"/>
      <c r="H427" s="115"/>
      <c r="I427" s="115"/>
      <c r="J427" s="115"/>
      <c r="K427" s="115"/>
      <c r="L427" s="114"/>
      <c r="M427" s="114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4"/>
      <c r="Y427" s="114"/>
      <c r="Z427" s="115"/>
      <c r="AA427" s="114"/>
      <c r="AB427" s="114"/>
      <c r="AC427" s="115"/>
      <c r="AD427" s="116"/>
      <c r="AE427" s="114"/>
      <c r="AF427" s="114"/>
      <c r="AG427" s="114"/>
      <c r="AH427" s="1"/>
      <c r="AI427" s="95" t="str">
        <f aca="false">IF(INDEX($C:$C,427)&amp;INDEX($D:$D,427)="","",1)</f>
        <v/>
      </c>
      <c r="AJ427" s="95" t="str">
        <f aca="false">IF(OR(AI427="",INDEX($Z:$Z,427)="",INDEX($U:$U,427)="Declined"),"",1)</f>
        <v/>
      </c>
      <c r="AK427" s="95" t="str">
        <f aca="false">IF(AJ427="","",INDEX($Z:$Z,427)&amp;"-"&amp;COUNTIFS($Z$7:Z427,INDEX($Z:$Z,427),$AJ$7:AJ427,1))</f>
        <v/>
      </c>
      <c r="AL427" s="43" t="str">
        <f aca="false">IF(AI427="","",TRIM(INDEX($D:$D,427)&amp;" "&amp;INDEX($C:$C,427))&amp;IF(INDEX($I:$I,427)="Yes"," (child)",""))</f>
        <v/>
      </c>
      <c r="AM427" s="95" t="str">
        <f aca="false">IF(OR(AI427="",INDEX($X:$X,427)="",INDEX($U:$U,427)="Declined"),"",COUNTIFS($X$7:X427,"?*",$U$7:U427,"&lt;&gt;Declined",$AI$7:AI427,1))</f>
        <v/>
      </c>
      <c r="AN427" s="95" t="str">
        <f aca="false">IF(AI427="","",IF(INDEX($L:$L,427)="",1,IF(COUNTIF($L$7:L427,INDEX($L:$L,427))=1,1,"")))</f>
        <v/>
      </c>
      <c r="AO427" s="95" t="str">
        <f aca="false">IF(AN427&lt;&gt;1,"",IF(INDEX($L:$L,427)="",IF(INDEX($S:$S,427)="Yes",1,""),IF(COUNTIFS($L$7:$L$506,INDEX($L:$L,427),$S$7:$S$506,"Yes")&gt;0,1,"")))</f>
        <v/>
      </c>
      <c r="AP427" s="95" t="str">
        <f aca="false">IF(AN427&lt;&gt;1,"",IF(INDEX($L:$L,427)&lt;&gt;"",INDEX($L:$L,427),TRIM(INDEX($D:$D,427)&amp;" "&amp;INDEX($C:$C,427))))</f>
        <v/>
      </c>
      <c r="AQ427" s="43" t="str">
        <f aca="false">IF(OR(AI427="",INDEX($I:$I,427)="Yes"),"",1)</f>
        <v/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customFormat="false" ht="21.75" hidden="false" customHeight="true" outlineLevel="0" collapsed="false">
      <c r="A428" s="1"/>
      <c r="B428" s="113" t="str">
        <f aca="false">IF(AI428="","",COUNT($AI$7:AI428))</f>
        <v/>
      </c>
      <c r="C428" s="114"/>
      <c r="D428" s="114"/>
      <c r="E428" s="114"/>
      <c r="F428" s="114"/>
      <c r="G428" s="115"/>
      <c r="H428" s="115"/>
      <c r="I428" s="115"/>
      <c r="J428" s="115"/>
      <c r="K428" s="115"/>
      <c r="L428" s="114"/>
      <c r="M428" s="114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4"/>
      <c r="Y428" s="114"/>
      <c r="Z428" s="115"/>
      <c r="AA428" s="114"/>
      <c r="AB428" s="114"/>
      <c r="AC428" s="115"/>
      <c r="AD428" s="116"/>
      <c r="AE428" s="114"/>
      <c r="AF428" s="114"/>
      <c r="AG428" s="114"/>
      <c r="AH428" s="1"/>
      <c r="AI428" s="95" t="str">
        <f aca="false">IF(INDEX($C:$C,428)&amp;INDEX($D:$D,428)="","",1)</f>
        <v/>
      </c>
      <c r="AJ428" s="95" t="str">
        <f aca="false">IF(OR(AI428="",INDEX($Z:$Z,428)="",INDEX($U:$U,428)="Declined"),"",1)</f>
        <v/>
      </c>
      <c r="AK428" s="95" t="str">
        <f aca="false">IF(AJ428="","",INDEX($Z:$Z,428)&amp;"-"&amp;COUNTIFS($Z$7:Z428,INDEX($Z:$Z,428),$AJ$7:AJ428,1))</f>
        <v/>
      </c>
      <c r="AL428" s="43" t="str">
        <f aca="false">IF(AI428="","",TRIM(INDEX($D:$D,428)&amp;" "&amp;INDEX($C:$C,428))&amp;IF(INDEX($I:$I,428)="Yes"," (child)",""))</f>
        <v/>
      </c>
      <c r="AM428" s="95" t="str">
        <f aca="false">IF(OR(AI428="",INDEX($X:$X,428)="",INDEX($U:$U,428)="Declined"),"",COUNTIFS($X$7:X428,"?*",$U$7:U428,"&lt;&gt;Declined",$AI$7:AI428,1))</f>
        <v/>
      </c>
      <c r="AN428" s="95" t="str">
        <f aca="false">IF(AI428="","",IF(INDEX($L:$L,428)="",1,IF(COUNTIF($L$7:L428,INDEX($L:$L,428))=1,1,"")))</f>
        <v/>
      </c>
      <c r="AO428" s="95" t="str">
        <f aca="false">IF(AN428&lt;&gt;1,"",IF(INDEX($L:$L,428)="",IF(INDEX($S:$S,428)="Yes",1,""),IF(COUNTIFS($L$7:$L$506,INDEX($L:$L,428),$S$7:$S$506,"Yes")&gt;0,1,"")))</f>
        <v/>
      </c>
      <c r="AP428" s="95" t="str">
        <f aca="false">IF(AN428&lt;&gt;1,"",IF(INDEX($L:$L,428)&lt;&gt;"",INDEX($L:$L,428),TRIM(INDEX($D:$D,428)&amp;" "&amp;INDEX($C:$C,428))))</f>
        <v/>
      </c>
      <c r="AQ428" s="43" t="str">
        <f aca="false">IF(OR(AI428="",INDEX($I:$I,428)="Yes"),"",1)</f>
        <v/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customFormat="false" ht="21.75" hidden="false" customHeight="true" outlineLevel="0" collapsed="false">
      <c r="A429" s="1"/>
      <c r="B429" s="113" t="str">
        <f aca="false">IF(AI429="","",COUNT($AI$7:AI429))</f>
        <v/>
      </c>
      <c r="C429" s="114"/>
      <c r="D429" s="114"/>
      <c r="E429" s="114"/>
      <c r="F429" s="114"/>
      <c r="G429" s="115"/>
      <c r="H429" s="115"/>
      <c r="I429" s="115"/>
      <c r="J429" s="115"/>
      <c r="K429" s="115"/>
      <c r="L429" s="114"/>
      <c r="M429" s="114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4"/>
      <c r="Y429" s="114"/>
      <c r="Z429" s="115"/>
      <c r="AA429" s="114"/>
      <c r="AB429" s="114"/>
      <c r="AC429" s="115"/>
      <c r="AD429" s="116"/>
      <c r="AE429" s="114"/>
      <c r="AF429" s="114"/>
      <c r="AG429" s="114"/>
      <c r="AH429" s="1"/>
      <c r="AI429" s="95" t="str">
        <f aca="false">IF(INDEX($C:$C,429)&amp;INDEX($D:$D,429)="","",1)</f>
        <v/>
      </c>
      <c r="AJ429" s="95" t="str">
        <f aca="false">IF(OR(AI429="",INDEX($Z:$Z,429)="",INDEX($U:$U,429)="Declined"),"",1)</f>
        <v/>
      </c>
      <c r="AK429" s="95" t="str">
        <f aca="false">IF(AJ429="","",INDEX($Z:$Z,429)&amp;"-"&amp;COUNTIFS($Z$7:Z429,INDEX($Z:$Z,429),$AJ$7:AJ429,1))</f>
        <v/>
      </c>
      <c r="AL429" s="43" t="str">
        <f aca="false">IF(AI429="","",TRIM(INDEX($D:$D,429)&amp;" "&amp;INDEX($C:$C,429))&amp;IF(INDEX($I:$I,429)="Yes"," (child)",""))</f>
        <v/>
      </c>
      <c r="AM429" s="95" t="str">
        <f aca="false">IF(OR(AI429="",INDEX($X:$X,429)="",INDEX($U:$U,429)="Declined"),"",COUNTIFS($X$7:X429,"?*",$U$7:U429,"&lt;&gt;Declined",$AI$7:AI429,1))</f>
        <v/>
      </c>
      <c r="AN429" s="95" t="str">
        <f aca="false">IF(AI429="","",IF(INDEX($L:$L,429)="",1,IF(COUNTIF($L$7:L429,INDEX($L:$L,429))=1,1,"")))</f>
        <v/>
      </c>
      <c r="AO429" s="95" t="str">
        <f aca="false">IF(AN429&lt;&gt;1,"",IF(INDEX($L:$L,429)="",IF(INDEX($S:$S,429)="Yes",1,""),IF(COUNTIFS($L$7:$L$506,INDEX($L:$L,429),$S$7:$S$506,"Yes")&gt;0,1,"")))</f>
        <v/>
      </c>
      <c r="AP429" s="95" t="str">
        <f aca="false">IF(AN429&lt;&gt;1,"",IF(INDEX($L:$L,429)&lt;&gt;"",INDEX($L:$L,429),TRIM(INDEX($D:$D,429)&amp;" "&amp;INDEX($C:$C,429))))</f>
        <v/>
      </c>
      <c r="AQ429" s="43" t="str">
        <f aca="false">IF(OR(AI429="",INDEX($I:$I,429)="Yes"),"",1)</f>
        <v/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customFormat="false" ht="21.75" hidden="false" customHeight="true" outlineLevel="0" collapsed="false">
      <c r="A430" s="1"/>
      <c r="B430" s="113" t="str">
        <f aca="false">IF(AI430="","",COUNT($AI$7:AI430))</f>
        <v/>
      </c>
      <c r="C430" s="114"/>
      <c r="D430" s="114"/>
      <c r="E430" s="114"/>
      <c r="F430" s="114"/>
      <c r="G430" s="115"/>
      <c r="H430" s="115"/>
      <c r="I430" s="115"/>
      <c r="J430" s="115"/>
      <c r="K430" s="115"/>
      <c r="L430" s="114"/>
      <c r="M430" s="114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4"/>
      <c r="Y430" s="114"/>
      <c r="Z430" s="115"/>
      <c r="AA430" s="114"/>
      <c r="AB430" s="114"/>
      <c r="AC430" s="115"/>
      <c r="AD430" s="116"/>
      <c r="AE430" s="114"/>
      <c r="AF430" s="114"/>
      <c r="AG430" s="114"/>
      <c r="AH430" s="1"/>
      <c r="AI430" s="95" t="str">
        <f aca="false">IF(INDEX($C:$C,430)&amp;INDEX($D:$D,430)="","",1)</f>
        <v/>
      </c>
      <c r="AJ430" s="95" t="str">
        <f aca="false">IF(OR(AI430="",INDEX($Z:$Z,430)="",INDEX($U:$U,430)="Declined"),"",1)</f>
        <v/>
      </c>
      <c r="AK430" s="95" t="str">
        <f aca="false">IF(AJ430="","",INDEX($Z:$Z,430)&amp;"-"&amp;COUNTIFS($Z$7:Z430,INDEX($Z:$Z,430),$AJ$7:AJ430,1))</f>
        <v/>
      </c>
      <c r="AL430" s="43" t="str">
        <f aca="false">IF(AI430="","",TRIM(INDEX($D:$D,430)&amp;" "&amp;INDEX($C:$C,430))&amp;IF(INDEX($I:$I,430)="Yes"," (child)",""))</f>
        <v/>
      </c>
      <c r="AM430" s="95" t="str">
        <f aca="false">IF(OR(AI430="",INDEX($X:$X,430)="",INDEX($U:$U,430)="Declined"),"",COUNTIFS($X$7:X430,"?*",$U$7:U430,"&lt;&gt;Declined",$AI$7:AI430,1))</f>
        <v/>
      </c>
      <c r="AN430" s="95" t="str">
        <f aca="false">IF(AI430="","",IF(INDEX($L:$L,430)="",1,IF(COUNTIF($L$7:L430,INDEX($L:$L,430))=1,1,"")))</f>
        <v/>
      </c>
      <c r="AO430" s="95" t="str">
        <f aca="false">IF(AN430&lt;&gt;1,"",IF(INDEX($L:$L,430)="",IF(INDEX($S:$S,430)="Yes",1,""),IF(COUNTIFS($L$7:$L$506,INDEX($L:$L,430),$S$7:$S$506,"Yes")&gt;0,1,"")))</f>
        <v/>
      </c>
      <c r="AP430" s="95" t="str">
        <f aca="false">IF(AN430&lt;&gt;1,"",IF(INDEX($L:$L,430)&lt;&gt;"",INDEX($L:$L,430),TRIM(INDEX($D:$D,430)&amp;" "&amp;INDEX($C:$C,430))))</f>
        <v/>
      </c>
      <c r="AQ430" s="43" t="str">
        <f aca="false">IF(OR(AI430="",INDEX($I:$I,430)="Yes"),"",1)</f>
        <v/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customFormat="false" ht="21.75" hidden="false" customHeight="true" outlineLevel="0" collapsed="false">
      <c r="A431" s="1"/>
      <c r="B431" s="113" t="str">
        <f aca="false">IF(AI431="","",COUNT($AI$7:AI431))</f>
        <v/>
      </c>
      <c r="C431" s="114"/>
      <c r="D431" s="114"/>
      <c r="E431" s="114"/>
      <c r="F431" s="114"/>
      <c r="G431" s="115"/>
      <c r="H431" s="115"/>
      <c r="I431" s="115"/>
      <c r="J431" s="115"/>
      <c r="K431" s="115"/>
      <c r="L431" s="114"/>
      <c r="M431" s="114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4"/>
      <c r="Y431" s="114"/>
      <c r="Z431" s="115"/>
      <c r="AA431" s="114"/>
      <c r="AB431" s="114"/>
      <c r="AC431" s="115"/>
      <c r="AD431" s="116"/>
      <c r="AE431" s="114"/>
      <c r="AF431" s="114"/>
      <c r="AG431" s="114"/>
      <c r="AH431" s="1"/>
      <c r="AI431" s="95" t="str">
        <f aca="false">IF(INDEX($C:$C,431)&amp;INDEX($D:$D,431)="","",1)</f>
        <v/>
      </c>
      <c r="AJ431" s="95" t="str">
        <f aca="false">IF(OR(AI431="",INDEX($Z:$Z,431)="",INDEX($U:$U,431)="Declined"),"",1)</f>
        <v/>
      </c>
      <c r="AK431" s="95" t="str">
        <f aca="false">IF(AJ431="","",INDEX($Z:$Z,431)&amp;"-"&amp;COUNTIFS($Z$7:Z431,INDEX($Z:$Z,431),$AJ$7:AJ431,1))</f>
        <v/>
      </c>
      <c r="AL431" s="43" t="str">
        <f aca="false">IF(AI431="","",TRIM(INDEX($D:$D,431)&amp;" "&amp;INDEX($C:$C,431))&amp;IF(INDEX($I:$I,431)="Yes"," (child)",""))</f>
        <v/>
      </c>
      <c r="AM431" s="95" t="str">
        <f aca="false">IF(OR(AI431="",INDEX($X:$X,431)="",INDEX($U:$U,431)="Declined"),"",COUNTIFS($X$7:X431,"?*",$U$7:U431,"&lt;&gt;Declined",$AI$7:AI431,1))</f>
        <v/>
      </c>
      <c r="AN431" s="95" t="str">
        <f aca="false">IF(AI431="","",IF(INDEX($L:$L,431)="",1,IF(COUNTIF($L$7:L431,INDEX($L:$L,431))=1,1,"")))</f>
        <v/>
      </c>
      <c r="AO431" s="95" t="str">
        <f aca="false">IF(AN431&lt;&gt;1,"",IF(INDEX($L:$L,431)="",IF(INDEX($S:$S,431)="Yes",1,""),IF(COUNTIFS($L$7:$L$506,INDEX($L:$L,431),$S$7:$S$506,"Yes")&gt;0,1,"")))</f>
        <v/>
      </c>
      <c r="AP431" s="95" t="str">
        <f aca="false">IF(AN431&lt;&gt;1,"",IF(INDEX($L:$L,431)&lt;&gt;"",INDEX($L:$L,431),TRIM(INDEX($D:$D,431)&amp;" "&amp;INDEX($C:$C,431))))</f>
        <v/>
      </c>
      <c r="AQ431" s="43" t="str">
        <f aca="false">IF(OR(AI431="",INDEX($I:$I,431)="Yes"),"",1)</f>
        <v/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customFormat="false" ht="21.75" hidden="false" customHeight="true" outlineLevel="0" collapsed="false">
      <c r="A432" s="1"/>
      <c r="B432" s="113" t="str">
        <f aca="false">IF(AI432="","",COUNT($AI$7:AI432))</f>
        <v/>
      </c>
      <c r="C432" s="114"/>
      <c r="D432" s="114"/>
      <c r="E432" s="114"/>
      <c r="F432" s="114"/>
      <c r="G432" s="115"/>
      <c r="H432" s="115"/>
      <c r="I432" s="115"/>
      <c r="J432" s="115"/>
      <c r="K432" s="115"/>
      <c r="L432" s="114"/>
      <c r="M432" s="114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4"/>
      <c r="Y432" s="114"/>
      <c r="Z432" s="115"/>
      <c r="AA432" s="114"/>
      <c r="AB432" s="114"/>
      <c r="AC432" s="115"/>
      <c r="AD432" s="116"/>
      <c r="AE432" s="114"/>
      <c r="AF432" s="114"/>
      <c r="AG432" s="114"/>
      <c r="AH432" s="1"/>
      <c r="AI432" s="95" t="str">
        <f aca="false">IF(INDEX($C:$C,432)&amp;INDEX($D:$D,432)="","",1)</f>
        <v/>
      </c>
      <c r="AJ432" s="95" t="str">
        <f aca="false">IF(OR(AI432="",INDEX($Z:$Z,432)="",INDEX($U:$U,432)="Declined"),"",1)</f>
        <v/>
      </c>
      <c r="AK432" s="95" t="str">
        <f aca="false">IF(AJ432="","",INDEX($Z:$Z,432)&amp;"-"&amp;COUNTIFS($Z$7:Z432,INDEX($Z:$Z,432),$AJ$7:AJ432,1))</f>
        <v/>
      </c>
      <c r="AL432" s="43" t="str">
        <f aca="false">IF(AI432="","",TRIM(INDEX($D:$D,432)&amp;" "&amp;INDEX($C:$C,432))&amp;IF(INDEX($I:$I,432)="Yes"," (child)",""))</f>
        <v/>
      </c>
      <c r="AM432" s="95" t="str">
        <f aca="false">IF(OR(AI432="",INDEX($X:$X,432)="",INDEX($U:$U,432)="Declined"),"",COUNTIFS($X$7:X432,"?*",$U$7:U432,"&lt;&gt;Declined",$AI$7:AI432,1))</f>
        <v/>
      </c>
      <c r="AN432" s="95" t="str">
        <f aca="false">IF(AI432="","",IF(INDEX($L:$L,432)="",1,IF(COUNTIF($L$7:L432,INDEX($L:$L,432))=1,1,"")))</f>
        <v/>
      </c>
      <c r="AO432" s="95" t="str">
        <f aca="false">IF(AN432&lt;&gt;1,"",IF(INDEX($L:$L,432)="",IF(INDEX($S:$S,432)="Yes",1,""),IF(COUNTIFS($L$7:$L$506,INDEX($L:$L,432),$S$7:$S$506,"Yes")&gt;0,1,"")))</f>
        <v/>
      </c>
      <c r="AP432" s="95" t="str">
        <f aca="false">IF(AN432&lt;&gt;1,"",IF(INDEX($L:$L,432)&lt;&gt;"",INDEX($L:$L,432),TRIM(INDEX($D:$D,432)&amp;" "&amp;INDEX($C:$C,432))))</f>
        <v/>
      </c>
      <c r="AQ432" s="43" t="str">
        <f aca="false">IF(OR(AI432="",INDEX($I:$I,432)="Yes"),"",1)</f>
        <v/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customFormat="false" ht="21.75" hidden="false" customHeight="true" outlineLevel="0" collapsed="false">
      <c r="A433" s="1"/>
      <c r="B433" s="113" t="str">
        <f aca="false">IF(AI433="","",COUNT($AI$7:AI433))</f>
        <v/>
      </c>
      <c r="C433" s="114"/>
      <c r="D433" s="114"/>
      <c r="E433" s="114"/>
      <c r="F433" s="114"/>
      <c r="G433" s="115"/>
      <c r="H433" s="115"/>
      <c r="I433" s="115"/>
      <c r="J433" s="115"/>
      <c r="K433" s="115"/>
      <c r="L433" s="114"/>
      <c r="M433" s="114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4"/>
      <c r="Y433" s="114"/>
      <c r="Z433" s="115"/>
      <c r="AA433" s="114"/>
      <c r="AB433" s="114"/>
      <c r="AC433" s="115"/>
      <c r="AD433" s="116"/>
      <c r="AE433" s="114"/>
      <c r="AF433" s="114"/>
      <c r="AG433" s="114"/>
      <c r="AH433" s="1"/>
      <c r="AI433" s="95" t="str">
        <f aca="false">IF(INDEX($C:$C,433)&amp;INDEX($D:$D,433)="","",1)</f>
        <v/>
      </c>
      <c r="AJ433" s="95" t="str">
        <f aca="false">IF(OR(AI433="",INDEX($Z:$Z,433)="",INDEX($U:$U,433)="Declined"),"",1)</f>
        <v/>
      </c>
      <c r="AK433" s="95" t="str">
        <f aca="false">IF(AJ433="","",INDEX($Z:$Z,433)&amp;"-"&amp;COUNTIFS($Z$7:Z433,INDEX($Z:$Z,433),$AJ$7:AJ433,1))</f>
        <v/>
      </c>
      <c r="AL433" s="43" t="str">
        <f aca="false">IF(AI433="","",TRIM(INDEX($D:$D,433)&amp;" "&amp;INDEX($C:$C,433))&amp;IF(INDEX($I:$I,433)="Yes"," (child)",""))</f>
        <v/>
      </c>
      <c r="AM433" s="95" t="str">
        <f aca="false">IF(OR(AI433="",INDEX($X:$X,433)="",INDEX($U:$U,433)="Declined"),"",COUNTIFS($X$7:X433,"?*",$U$7:U433,"&lt;&gt;Declined",$AI$7:AI433,1))</f>
        <v/>
      </c>
      <c r="AN433" s="95" t="str">
        <f aca="false">IF(AI433="","",IF(INDEX($L:$L,433)="",1,IF(COUNTIF($L$7:L433,INDEX($L:$L,433))=1,1,"")))</f>
        <v/>
      </c>
      <c r="AO433" s="95" t="str">
        <f aca="false">IF(AN433&lt;&gt;1,"",IF(INDEX($L:$L,433)="",IF(INDEX($S:$S,433)="Yes",1,""),IF(COUNTIFS($L$7:$L$506,INDEX($L:$L,433),$S$7:$S$506,"Yes")&gt;0,1,"")))</f>
        <v/>
      </c>
      <c r="AP433" s="95" t="str">
        <f aca="false">IF(AN433&lt;&gt;1,"",IF(INDEX($L:$L,433)&lt;&gt;"",INDEX($L:$L,433),TRIM(INDEX($D:$D,433)&amp;" "&amp;INDEX($C:$C,433))))</f>
        <v/>
      </c>
      <c r="AQ433" s="43" t="str">
        <f aca="false">IF(OR(AI433="",INDEX($I:$I,433)="Yes"),"",1)</f>
        <v/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customFormat="false" ht="21.75" hidden="false" customHeight="true" outlineLevel="0" collapsed="false">
      <c r="A434" s="1"/>
      <c r="B434" s="113" t="str">
        <f aca="false">IF(AI434="","",COUNT($AI$7:AI434))</f>
        <v/>
      </c>
      <c r="C434" s="114"/>
      <c r="D434" s="114"/>
      <c r="E434" s="114"/>
      <c r="F434" s="114"/>
      <c r="G434" s="115"/>
      <c r="H434" s="115"/>
      <c r="I434" s="115"/>
      <c r="J434" s="115"/>
      <c r="K434" s="115"/>
      <c r="L434" s="114"/>
      <c r="M434" s="114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4"/>
      <c r="Y434" s="114"/>
      <c r="Z434" s="115"/>
      <c r="AA434" s="114"/>
      <c r="AB434" s="114"/>
      <c r="AC434" s="115"/>
      <c r="AD434" s="116"/>
      <c r="AE434" s="114"/>
      <c r="AF434" s="114"/>
      <c r="AG434" s="114"/>
      <c r="AH434" s="1"/>
      <c r="AI434" s="95" t="str">
        <f aca="false">IF(INDEX($C:$C,434)&amp;INDEX($D:$D,434)="","",1)</f>
        <v/>
      </c>
      <c r="AJ434" s="95" t="str">
        <f aca="false">IF(OR(AI434="",INDEX($Z:$Z,434)="",INDEX($U:$U,434)="Declined"),"",1)</f>
        <v/>
      </c>
      <c r="AK434" s="95" t="str">
        <f aca="false">IF(AJ434="","",INDEX($Z:$Z,434)&amp;"-"&amp;COUNTIFS($Z$7:Z434,INDEX($Z:$Z,434),$AJ$7:AJ434,1))</f>
        <v/>
      </c>
      <c r="AL434" s="43" t="str">
        <f aca="false">IF(AI434="","",TRIM(INDEX($D:$D,434)&amp;" "&amp;INDEX($C:$C,434))&amp;IF(INDEX($I:$I,434)="Yes"," (child)",""))</f>
        <v/>
      </c>
      <c r="AM434" s="95" t="str">
        <f aca="false">IF(OR(AI434="",INDEX($X:$X,434)="",INDEX($U:$U,434)="Declined"),"",COUNTIFS($X$7:X434,"?*",$U$7:U434,"&lt;&gt;Declined",$AI$7:AI434,1))</f>
        <v/>
      </c>
      <c r="AN434" s="95" t="str">
        <f aca="false">IF(AI434="","",IF(INDEX($L:$L,434)="",1,IF(COUNTIF($L$7:L434,INDEX($L:$L,434))=1,1,"")))</f>
        <v/>
      </c>
      <c r="AO434" s="95" t="str">
        <f aca="false">IF(AN434&lt;&gt;1,"",IF(INDEX($L:$L,434)="",IF(INDEX($S:$S,434)="Yes",1,""),IF(COUNTIFS($L$7:$L$506,INDEX($L:$L,434),$S$7:$S$506,"Yes")&gt;0,1,"")))</f>
        <v/>
      </c>
      <c r="AP434" s="95" t="str">
        <f aca="false">IF(AN434&lt;&gt;1,"",IF(INDEX($L:$L,434)&lt;&gt;"",INDEX($L:$L,434),TRIM(INDEX($D:$D,434)&amp;" "&amp;INDEX($C:$C,434))))</f>
        <v/>
      </c>
      <c r="AQ434" s="43" t="str">
        <f aca="false">IF(OR(AI434="",INDEX($I:$I,434)="Yes"),"",1)</f>
        <v/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customFormat="false" ht="21.75" hidden="false" customHeight="true" outlineLevel="0" collapsed="false">
      <c r="A435" s="1"/>
      <c r="B435" s="113" t="str">
        <f aca="false">IF(AI435="","",COUNT($AI$7:AI435))</f>
        <v/>
      </c>
      <c r="C435" s="114"/>
      <c r="D435" s="114"/>
      <c r="E435" s="114"/>
      <c r="F435" s="114"/>
      <c r="G435" s="115"/>
      <c r="H435" s="115"/>
      <c r="I435" s="115"/>
      <c r="J435" s="115"/>
      <c r="K435" s="115"/>
      <c r="L435" s="114"/>
      <c r="M435" s="114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4"/>
      <c r="Y435" s="114"/>
      <c r="Z435" s="115"/>
      <c r="AA435" s="114"/>
      <c r="AB435" s="114"/>
      <c r="AC435" s="115"/>
      <c r="AD435" s="116"/>
      <c r="AE435" s="114"/>
      <c r="AF435" s="114"/>
      <c r="AG435" s="114"/>
      <c r="AH435" s="1"/>
      <c r="AI435" s="95" t="str">
        <f aca="false">IF(INDEX($C:$C,435)&amp;INDEX($D:$D,435)="","",1)</f>
        <v/>
      </c>
      <c r="AJ435" s="95" t="str">
        <f aca="false">IF(OR(AI435="",INDEX($Z:$Z,435)="",INDEX($U:$U,435)="Declined"),"",1)</f>
        <v/>
      </c>
      <c r="AK435" s="95" t="str">
        <f aca="false">IF(AJ435="","",INDEX($Z:$Z,435)&amp;"-"&amp;COUNTIFS($Z$7:Z435,INDEX($Z:$Z,435),$AJ$7:AJ435,1))</f>
        <v/>
      </c>
      <c r="AL435" s="43" t="str">
        <f aca="false">IF(AI435="","",TRIM(INDEX($D:$D,435)&amp;" "&amp;INDEX($C:$C,435))&amp;IF(INDEX($I:$I,435)="Yes"," (child)",""))</f>
        <v/>
      </c>
      <c r="AM435" s="95" t="str">
        <f aca="false">IF(OR(AI435="",INDEX($X:$X,435)="",INDEX($U:$U,435)="Declined"),"",COUNTIFS($X$7:X435,"?*",$U$7:U435,"&lt;&gt;Declined",$AI$7:AI435,1))</f>
        <v/>
      </c>
      <c r="AN435" s="95" t="str">
        <f aca="false">IF(AI435="","",IF(INDEX($L:$L,435)="",1,IF(COUNTIF($L$7:L435,INDEX($L:$L,435))=1,1,"")))</f>
        <v/>
      </c>
      <c r="AO435" s="95" t="str">
        <f aca="false">IF(AN435&lt;&gt;1,"",IF(INDEX($L:$L,435)="",IF(INDEX($S:$S,435)="Yes",1,""),IF(COUNTIFS($L$7:$L$506,INDEX($L:$L,435),$S$7:$S$506,"Yes")&gt;0,1,"")))</f>
        <v/>
      </c>
      <c r="AP435" s="95" t="str">
        <f aca="false">IF(AN435&lt;&gt;1,"",IF(INDEX($L:$L,435)&lt;&gt;"",INDEX($L:$L,435),TRIM(INDEX($D:$D,435)&amp;" "&amp;INDEX($C:$C,435))))</f>
        <v/>
      </c>
      <c r="AQ435" s="43" t="str">
        <f aca="false">IF(OR(AI435="",INDEX($I:$I,435)="Yes"),"",1)</f>
        <v/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customFormat="false" ht="21.75" hidden="false" customHeight="true" outlineLevel="0" collapsed="false">
      <c r="A436" s="1"/>
      <c r="B436" s="113" t="str">
        <f aca="false">IF(AI436="","",COUNT($AI$7:AI436))</f>
        <v/>
      </c>
      <c r="C436" s="114"/>
      <c r="D436" s="114"/>
      <c r="E436" s="114"/>
      <c r="F436" s="114"/>
      <c r="G436" s="115"/>
      <c r="H436" s="115"/>
      <c r="I436" s="115"/>
      <c r="J436" s="115"/>
      <c r="K436" s="115"/>
      <c r="L436" s="114"/>
      <c r="M436" s="114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4"/>
      <c r="Y436" s="114"/>
      <c r="Z436" s="115"/>
      <c r="AA436" s="114"/>
      <c r="AB436" s="114"/>
      <c r="AC436" s="115"/>
      <c r="AD436" s="116"/>
      <c r="AE436" s="114"/>
      <c r="AF436" s="114"/>
      <c r="AG436" s="114"/>
      <c r="AH436" s="1"/>
      <c r="AI436" s="95" t="str">
        <f aca="false">IF(INDEX($C:$C,436)&amp;INDEX($D:$D,436)="","",1)</f>
        <v/>
      </c>
      <c r="AJ436" s="95" t="str">
        <f aca="false">IF(OR(AI436="",INDEX($Z:$Z,436)="",INDEX($U:$U,436)="Declined"),"",1)</f>
        <v/>
      </c>
      <c r="AK436" s="95" t="str">
        <f aca="false">IF(AJ436="","",INDEX($Z:$Z,436)&amp;"-"&amp;COUNTIFS($Z$7:Z436,INDEX($Z:$Z,436),$AJ$7:AJ436,1))</f>
        <v/>
      </c>
      <c r="AL436" s="43" t="str">
        <f aca="false">IF(AI436="","",TRIM(INDEX($D:$D,436)&amp;" "&amp;INDEX($C:$C,436))&amp;IF(INDEX($I:$I,436)="Yes"," (child)",""))</f>
        <v/>
      </c>
      <c r="AM436" s="95" t="str">
        <f aca="false">IF(OR(AI436="",INDEX($X:$X,436)="",INDEX($U:$U,436)="Declined"),"",COUNTIFS($X$7:X436,"?*",$U$7:U436,"&lt;&gt;Declined",$AI$7:AI436,1))</f>
        <v/>
      </c>
      <c r="AN436" s="95" t="str">
        <f aca="false">IF(AI436="","",IF(INDEX($L:$L,436)="",1,IF(COUNTIF($L$7:L436,INDEX($L:$L,436))=1,1,"")))</f>
        <v/>
      </c>
      <c r="AO436" s="95" t="str">
        <f aca="false">IF(AN436&lt;&gt;1,"",IF(INDEX($L:$L,436)="",IF(INDEX($S:$S,436)="Yes",1,""),IF(COUNTIFS($L$7:$L$506,INDEX($L:$L,436),$S$7:$S$506,"Yes")&gt;0,1,"")))</f>
        <v/>
      </c>
      <c r="AP436" s="95" t="str">
        <f aca="false">IF(AN436&lt;&gt;1,"",IF(INDEX($L:$L,436)&lt;&gt;"",INDEX($L:$L,436),TRIM(INDEX($D:$D,436)&amp;" "&amp;INDEX($C:$C,436))))</f>
        <v/>
      </c>
      <c r="AQ436" s="43" t="str">
        <f aca="false">IF(OR(AI436="",INDEX($I:$I,436)="Yes"),"",1)</f>
        <v/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customFormat="false" ht="21.75" hidden="false" customHeight="true" outlineLevel="0" collapsed="false">
      <c r="A437" s="1"/>
      <c r="B437" s="113" t="str">
        <f aca="false">IF(AI437="","",COUNT($AI$7:AI437))</f>
        <v/>
      </c>
      <c r="C437" s="114"/>
      <c r="D437" s="114"/>
      <c r="E437" s="114"/>
      <c r="F437" s="114"/>
      <c r="G437" s="115"/>
      <c r="H437" s="115"/>
      <c r="I437" s="115"/>
      <c r="J437" s="115"/>
      <c r="K437" s="115"/>
      <c r="L437" s="114"/>
      <c r="M437" s="114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4"/>
      <c r="Y437" s="114"/>
      <c r="Z437" s="115"/>
      <c r="AA437" s="114"/>
      <c r="AB437" s="114"/>
      <c r="AC437" s="115"/>
      <c r="AD437" s="116"/>
      <c r="AE437" s="114"/>
      <c r="AF437" s="114"/>
      <c r="AG437" s="114"/>
      <c r="AH437" s="1"/>
      <c r="AI437" s="95" t="str">
        <f aca="false">IF(INDEX($C:$C,437)&amp;INDEX($D:$D,437)="","",1)</f>
        <v/>
      </c>
      <c r="AJ437" s="95" t="str">
        <f aca="false">IF(OR(AI437="",INDEX($Z:$Z,437)="",INDEX($U:$U,437)="Declined"),"",1)</f>
        <v/>
      </c>
      <c r="AK437" s="95" t="str">
        <f aca="false">IF(AJ437="","",INDEX($Z:$Z,437)&amp;"-"&amp;COUNTIFS($Z$7:Z437,INDEX($Z:$Z,437),$AJ$7:AJ437,1))</f>
        <v/>
      </c>
      <c r="AL437" s="43" t="str">
        <f aca="false">IF(AI437="","",TRIM(INDEX($D:$D,437)&amp;" "&amp;INDEX($C:$C,437))&amp;IF(INDEX($I:$I,437)="Yes"," (child)",""))</f>
        <v/>
      </c>
      <c r="AM437" s="95" t="str">
        <f aca="false">IF(OR(AI437="",INDEX($X:$X,437)="",INDEX($U:$U,437)="Declined"),"",COUNTIFS($X$7:X437,"?*",$U$7:U437,"&lt;&gt;Declined",$AI$7:AI437,1))</f>
        <v/>
      </c>
      <c r="AN437" s="95" t="str">
        <f aca="false">IF(AI437="","",IF(INDEX($L:$L,437)="",1,IF(COUNTIF($L$7:L437,INDEX($L:$L,437))=1,1,"")))</f>
        <v/>
      </c>
      <c r="AO437" s="95" t="str">
        <f aca="false">IF(AN437&lt;&gt;1,"",IF(INDEX($L:$L,437)="",IF(INDEX($S:$S,437)="Yes",1,""),IF(COUNTIFS($L$7:$L$506,INDEX($L:$L,437),$S$7:$S$506,"Yes")&gt;0,1,"")))</f>
        <v/>
      </c>
      <c r="AP437" s="95" t="str">
        <f aca="false">IF(AN437&lt;&gt;1,"",IF(INDEX($L:$L,437)&lt;&gt;"",INDEX($L:$L,437),TRIM(INDEX($D:$D,437)&amp;" "&amp;INDEX($C:$C,437))))</f>
        <v/>
      </c>
      <c r="AQ437" s="43" t="str">
        <f aca="false">IF(OR(AI437="",INDEX($I:$I,437)="Yes"),"",1)</f>
        <v/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customFormat="false" ht="21.75" hidden="false" customHeight="true" outlineLevel="0" collapsed="false">
      <c r="A438" s="1"/>
      <c r="B438" s="113" t="str">
        <f aca="false">IF(AI438="","",COUNT($AI$7:AI438))</f>
        <v/>
      </c>
      <c r="C438" s="114"/>
      <c r="D438" s="114"/>
      <c r="E438" s="114"/>
      <c r="F438" s="114"/>
      <c r="G438" s="115"/>
      <c r="H438" s="115"/>
      <c r="I438" s="115"/>
      <c r="J438" s="115"/>
      <c r="K438" s="115"/>
      <c r="L438" s="114"/>
      <c r="M438" s="114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4"/>
      <c r="Y438" s="114"/>
      <c r="Z438" s="115"/>
      <c r="AA438" s="114"/>
      <c r="AB438" s="114"/>
      <c r="AC438" s="115"/>
      <c r="AD438" s="116"/>
      <c r="AE438" s="114"/>
      <c r="AF438" s="114"/>
      <c r="AG438" s="114"/>
      <c r="AH438" s="1"/>
      <c r="AI438" s="95" t="str">
        <f aca="false">IF(INDEX($C:$C,438)&amp;INDEX($D:$D,438)="","",1)</f>
        <v/>
      </c>
      <c r="AJ438" s="95" t="str">
        <f aca="false">IF(OR(AI438="",INDEX($Z:$Z,438)="",INDEX($U:$U,438)="Declined"),"",1)</f>
        <v/>
      </c>
      <c r="AK438" s="95" t="str">
        <f aca="false">IF(AJ438="","",INDEX($Z:$Z,438)&amp;"-"&amp;COUNTIFS($Z$7:Z438,INDEX($Z:$Z,438),$AJ$7:AJ438,1))</f>
        <v/>
      </c>
      <c r="AL438" s="43" t="str">
        <f aca="false">IF(AI438="","",TRIM(INDEX($D:$D,438)&amp;" "&amp;INDEX($C:$C,438))&amp;IF(INDEX($I:$I,438)="Yes"," (child)",""))</f>
        <v/>
      </c>
      <c r="AM438" s="95" t="str">
        <f aca="false">IF(OR(AI438="",INDEX($X:$X,438)="",INDEX($U:$U,438)="Declined"),"",COUNTIFS($X$7:X438,"?*",$U$7:U438,"&lt;&gt;Declined",$AI$7:AI438,1))</f>
        <v/>
      </c>
      <c r="AN438" s="95" t="str">
        <f aca="false">IF(AI438="","",IF(INDEX($L:$L,438)="",1,IF(COUNTIF($L$7:L438,INDEX($L:$L,438))=1,1,"")))</f>
        <v/>
      </c>
      <c r="AO438" s="95" t="str">
        <f aca="false">IF(AN438&lt;&gt;1,"",IF(INDEX($L:$L,438)="",IF(INDEX($S:$S,438)="Yes",1,""),IF(COUNTIFS($L$7:$L$506,INDEX($L:$L,438),$S$7:$S$506,"Yes")&gt;0,1,"")))</f>
        <v/>
      </c>
      <c r="AP438" s="95" t="str">
        <f aca="false">IF(AN438&lt;&gt;1,"",IF(INDEX($L:$L,438)&lt;&gt;"",INDEX($L:$L,438),TRIM(INDEX($D:$D,438)&amp;" "&amp;INDEX($C:$C,438))))</f>
        <v/>
      </c>
      <c r="AQ438" s="43" t="str">
        <f aca="false">IF(OR(AI438="",INDEX($I:$I,438)="Yes"),"",1)</f>
        <v/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customFormat="false" ht="21.75" hidden="false" customHeight="true" outlineLevel="0" collapsed="false">
      <c r="A439" s="1"/>
      <c r="B439" s="113" t="str">
        <f aca="false">IF(AI439="","",COUNT($AI$7:AI439))</f>
        <v/>
      </c>
      <c r="C439" s="114"/>
      <c r="D439" s="114"/>
      <c r="E439" s="114"/>
      <c r="F439" s="114"/>
      <c r="G439" s="115"/>
      <c r="H439" s="115"/>
      <c r="I439" s="115"/>
      <c r="J439" s="115"/>
      <c r="K439" s="115"/>
      <c r="L439" s="114"/>
      <c r="M439" s="114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4"/>
      <c r="Y439" s="114"/>
      <c r="Z439" s="115"/>
      <c r="AA439" s="114"/>
      <c r="AB439" s="114"/>
      <c r="AC439" s="115"/>
      <c r="AD439" s="116"/>
      <c r="AE439" s="114"/>
      <c r="AF439" s="114"/>
      <c r="AG439" s="114"/>
      <c r="AH439" s="1"/>
      <c r="AI439" s="95" t="str">
        <f aca="false">IF(INDEX($C:$C,439)&amp;INDEX($D:$D,439)="","",1)</f>
        <v/>
      </c>
      <c r="AJ439" s="95" t="str">
        <f aca="false">IF(OR(AI439="",INDEX($Z:$Z,439)="",INDEX($U:$U,439)="Declined"),"",1)</f>
        <v/>
      </c>
      <c r="AK439" s="95" t="str">
        <f aca="false">IF(AJ439="","",INDEX($Z:$Z,439)&amp;"-"&amp;COUNTIFS($Z$7:Z439,INDEX($Z:$Z,439),$AJ$7:AJ439,1))</f>
        <v/>
      </c>
      <c r="AL439" s="43" t="str">
        <f aca="false">IF(AI439="","",TRIM(INDEX($D:$D,439)&amp;" "&amp;INDEX($C:$C,439))&amp;IF(INDEX($I:$I,439)="Yes"," (child)",""))</f>
        <v/>
      </c>
      <c r="AM439" s="95" t="str">
        <f aca="false">IF(OR(AI439="",INDEX($X:$X,439)="",INDEX($U:$U,439)="Declined"),"",COUNTIFS($X$7:X439,"?*",$U$7:U439,"&lt;&gt;Declined",$AI$7:AI439,1))</f>
        <v/>
      </c>
      <c r="AN439" s="95" t="str">
        <f aca="false">IF(AI439="","",IF(INDEX($L:$L,439)="",1,IF(COUNTIF($L$7:L439,INDEX($L:$L,439))=1,1,"")))</f>
        <v/>
      </c>
      <c r="AO439" s="95" t="str">
        <f aca="false">IF(AN439&lt;&gt;1,"",IF(INDEX($L:$L,439)="",IF(INDEX($S:$S,439)="Yes",1,""),IF(COUNTIFS($L$7:$L$506,INDEX($L:$L,439),$S$7:$S$506,"Yes")&gt;0,1,"")))</f>
        <v/>
      </c>
      <c r="AP439" s="95" t="str">
        <f aca="false">IF(AN439&lt;&gt;1,"",IF(INDEX($L:$L,439)&lt;&gt;"",INDEX($L:$L,439),TRIM(INDEX($D:$D,439)&amp;" "&amp;INDEX($C:$C,439))))</f>
        <v/>
      </c>
      <c r="AQ439" s="43" t="str">
        <f aca="false">IF(OR(AI439="",INDEX($I:$I,439)="Yes"),"",1)</f>
        <v/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customFormat="false" ht="21.75" hidden="false" customHeight="true" outlineLevel="0" collapsed="false">
      <c r="A440" s="1"/>
      <c r="B440" s="113" t="str">
        <f aca="false">IF(AI440="","",COUNT($AI$7:AI440))</f>
        <v/>
      </c>
      <c r="C440" s="114"/>
      <c r="D440" s="114"/>
      <c r="E440" s="114"/>
      <c r="F440" s="114"/>
      <c r="G440" s="115"/>
      <c r="H440" s="115"/>
      <c r="I440" s="115"/>
      <c r="J440" s="115"/>
      <c r="K440" s="115"/>
      <c r="L440" s="114"/>
      <c r="M440" s="114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4"/>
      <c r="Y440" s="114"/>
      <c r="Z440" s="115"/>
      <c r="AA440" s="114"/>
      <c r="AB440" s="114"/>
      <c r="AC440" s="115"/>
      <c r="AD440" s="116"/>
      <c r="AE440" s="114"/>
      <c r="AF440" s="114"/>
      <c r="AG440" s="114"/>
      <c r="AH440" s="1"/>
      <c r="AI440" s="95" t="str">
        <f aca="false">IF(INDEX($C:$C,440)&amp;INDEX($D:$D,440)="","",1)</f>
        <v/>
      </c>
      <c r="AJ440" s="95" t="str">
        <f aca="false">IF(OR(AI440="",INDEX($Z:$Z,440)="",INDEX($U:$U,440)="Declined"),"",1)</f>
        <v/>
      </c>
      <c r="AK440" s="95" t="str">
        <f aca="false">IF(AJ440="","",INDEX($Z:$Z,440)&amp;"-"&amp;COUNTIFS($Z$7:Z440,INDEX($Z:$Z,440),$AJ$7:AJ440,1))</f>
        <v/>
      </c>
      <c r="AL440" s="43" t="str">
        <f aca="false">IF(AI440="","",TRIM(INDEX($D:$D,440)&amp;" "&amp;INDEX($C:$C,440))&amp;IF(INDEX($I:$I,440)="Yes"," (child)",""))</f>
        <v/>
      </c>
      <c r="AM440" s="95" t="str">
        <f aca="false">IF(OR(AI440="",INDEX($X:$X,440)="",INDEX($U:$U,440)="Declined"),"",COUNTIFS($X$7:X440,"?*",$U$7:U440,"&lt;&gt;Declined",$AI$7:AI440,1))</f>
        <v/>
      </c>
      <c r="AN440" s="95" t="str">
        <f aca="false">IF(AI440="","",IF(INDEX($L:$L,440)="",1,IF(COUNTIF($L$7:L440,INDEX($L:$L,440))=1,1,"")))</f>
        <v/>
      </c>
      <c r="AO440" s="95" t="str">
        <f aca="false">IF(AN440&lt;&gt;1,"",IF(INDEX($L:$L,440)="",IF(INDEX($S:$S,440)="Yes",1,""),IF(COUNTIFS($L$7:$L$506,INDEX($L:$L,440),$S$7:$S$506,"Yes")&gt;0,1,"")))</f>
        <v/>
      </c>
      <c r="AP440" s="95" t="str">
        <f aca="false">IF(AN440&lt;&gt;1,"",IF(INDEX($L:$L,440)&lt;&gt;"",INDEX($L:$L,440),TRIM(INDEX($D:$D,440)&amp;" "&amp;INDEX($C:$C,440))))</f>
        <v/>
      </c>
      <c r="AQ440" s="43" t="str">
        <f aca="false">IF(OR(AI440="",INDEX($I:$I,440)="Yes"),"",1)</f>
        <v/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customFormat="false" ht="21.75" hidden="false" customHeight="true" outlineLevel="0" collapsed="false">
      <c r="A441" s="1"/>
      <c r="B441" s="113" t="str">
        <f aca="false">IF(AI441="","",COUNT($AI$7:AI441))</f>
        <v/>
      </c>
      <c r="C441" s="114"/>
      <c r="D441" s="114"/>
      <c r="E441" s="114"/>
      <c r="F441" s="114"/>
      <c r="G441" s="115"/>
      <c r="H441" s="115"/>
      <c r="I441" s="115"/>
      <c r="J441" s="115"/>
      <c r="K441" s="115"/>
      <c r="L441" s="114"/>
      <c r="M441" s="114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4"/>
      <c r="Y441" s="114"/>
      <c r="Z441" s="115"/>
      <c r="AA441" s="114"/>
      <c r="AB441" s="114"/>
      <c r="AC441" s="115"/>
      <c r="AD441" s="116"/>
      <c r="AE441" s="114"/>
      <c r="AF441" s="114"/>
      <c r="AG441" s="114"/>
      <c r="AH441" s="1"/>
      <c r="AI441" s="95" t="str">
        <f aca="false">IF(INDEX($C:$C,441)&amp;INDEX($D:$D,441)="","",1)</f>
        <v/>
      </c>
      <c r="AJ441" s="95" t="str">
        <f aca="false">IF(OR(AI441="",INDEX($Z:$Z,441)="",INDEX($U:$U,441)="Declined"),"",1)</f>
        <v/>
      </c>
      <c r="AK441" s="95" t="str">
        <f aca="false">IF(AJ441="","",INDEX($Z:$Z,441)&amp;"-"&amp;COUNTIFS($Z$7:Z441,INDEX($Z:$Z,441),$AJ$7:AJ441,1))</f>
        <v/>
      </c>
      <c r="AL441" s="43" t="str">
        <f aca="false">IF(AI441="","",TRIM(INDEX($D:$D,441)&amp;" "&amp;INDEX($C:$C,441))&amp;IF(INDEX($I:$I,441)="Yes"," (child)",""))</f>
        <v/>
      </c>
      <c r="AM441" s="95" t="str">
        <f aca="false">IF(OR(AI441="",INDEX($X:$X,441)="",INDEX($U:$U,441)="Declined"),"",COUNTIFS($X$7:X441,"?*",$U$7:U441,"&lt;&gt;Declined",$AI$7:AI441,1))</f>
        <v/>
      </c>
      <c r="AN441" s="95" t="str">
        <f aca="false">IF(AI441="","",IF(INDEX($L:$L,441)="",1,IF(COUNTIF($L$7:L441,INDEX($L:$L,441))=1,1,"")))</f>
        <v/>
      </c>
      <c r="AO441" s="95" t="str">
        <f aca="false">IF(AN441&lt;&gt;1,"",IF(INDEX($L:$L,441)="",IF(INDEX($S:$S,441)="Yes",1,""),IF(COUNTIFS($L$7:$L$506,INDEX($L:$L,441),$S$7:$S$506,"Yes")&gt;0,1,"")))</f>
        <v/>
      </c>
      <c r="AP441" s="95" t="str">
        <f aca="false">IF(AN441&lt;&gt;1,"",IF(INDEX($L:$L,441)&lt;&gt;"",INDEX($L:$L,441),TRIM(INDEX($D:$D,441)&amp;" "&amp;INDEX($C:$C,441))))</f>
        <v/>
      </c>
      <c r="AQ441" s="43" t="str">
        <f aca="false">IF(OR(AI441="",INDEX($I:$I,441)="Yes"),"",1)</f>
        <v/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customFormat="false" ht="21.75" hidden="false" customHeight="true" outlineLevel="0" collapsed="false">
      <c r="A442" s="1"/>
      <c r="B442" s="113" t="str">
        <f aca="false">IF(AI442="","",COUNT($AI$7:AI442))</f>
        <v/>
      </c>
      <c r="C442" s="114"/>
      <c r="D442" s="114"/>
      <c r="E442" s="114"/>
      <c r="F442" s="114"/>
      <c r="G442" s="115"/>
      <c r="H442" s="115"/>
      <c r="I442" s="115"/>
      <c r="J442" s="115"/>
      <c r="K442" s="115"/>
      <c r="L442" s="114"/>
      <c r="M442" s="114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4"/>
      <c r="Y442" s="114"/>
      <c r="Z442" s="115"/>
      <c r="AA442" s="114"/>
      <c r="AB442" s="114"/>
      <c r="AC442" s="115"/>
      <c r="AD442" s="116"/>
      <c r="AE442" s="114"/>
      <c r="AF442" s="114"/>
      <c r="AG442" s="114"/>
      <c r="AH442" s="1"/>
      <c r="AI442" s="95" t="str">
        <f aca="false">IF(INDEX($C:$C,442)&amp;INDEX($D:$D,442)="","",1)</f>
        <v/>
      </c>
      <c r="AJ442" s="95" t="str">
        <f aca="false">IF(OR(AI442="",INDEX($Z:$Z,442)="",INDEX($U:$U,442)="Declined"),"",1)</f>
        <v/>
      </c>
      <c r="AK442" s="95" t="str">
        <f aca="false">IF(AJ442="","",INDEX($Z:$Z,442)&amp;"-"&amp;COUNTIFS($Z$7:Z442,INDEX($Z:$Z,442),$AJ$7:AJ442,1))</f>
        <v/>
      </c>
      <c r="AL442" s="43" t="str">
        <f aca="false">IF(AI442="","",TRIM(INDEX($D:$D,442)&amp;" "&amp;INDEX($C:$C,442))&amp;IF(INDEX($I:$I,442)="Yes"," (child)",""))</f>
        <v/>
      </c>
      <c r="AM442" s="95" t="str">
        <f aca="false">IF(OR(AI442="",INDEX($X:$X,442)="",INDEX($U:$U,442)="Declined"),"",COUNTIFS($X$7:X442,"?*",$U$7:U442,"&lt;&gt;Declined",$AI$7:AI442,1))</f>
        <v/>
      </c>
      <c r="AN442" s="95" t="str">
        <f aca="false">IF(AI442="","",IF(INDEX($L:$L,442)="",1,IF(COUNTIF($L$7:L442,INDEX($L:$L,442))=1,1,"")))</f>
        <v/>
      </c>
      <c r="AO442" s="95" t="str">
        <f aca="false">IF(AN442&lt;&gt;1,"",IF(INDEX($L:$L,442)="",IF(INDEX($S:$S,442)="Yes",1,""),IF(COUNTIFS($L$7:$L$506,INDEX($L:$L,442),$S$7:$S$506,"Yes")&gt;0,1,"")))</f>
        <v/>
      </c>
      <c r="AP442" s="95" t="str">
        <f aca="false">IF(AN442&lt;&gt;1,"",IF(INDEX($L:$L,442)&lt;&gt;"",INDEX($L:$L,442),TRIM(INDEX($D:$D,442)&amp;" "&amp;INDEX($C:$C,442))))</f>
        <v/>
      </c>
      <c r="AQ442" s="43" t="str">
        <f aca="false">IF(OR(AI442="",INDEX($I:$I,442)="Yes"),"",1)</f>
        <v/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customFormat="false" ht="21.75" hidden="false" customHeight="true" outlineLevel="0" collapsed="false">
      <c r="A443" s="1"/>
      <c r="B443" s="113" t="str">
        <f aca="false">IF(AI443="","",COUNT($AI$7:AI443))</f>
        <v/>
      </c>
      <c r="C443" s="114"/>
      <c r="D443" s="114"/>
      <c r="E443" s="114"/>
      <c r="F443" s="114"/>
      <c r="G443" s="115"/>
      <c r="H443" s="115"/>
      <c r="I443" s="115"/>
      <c r="J443" s="115"/>
      <c r="K443" s="115"/>
      <c r="L443" s="114"/>
      <c r="M443" s="114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4"/>
      <c r="Y443" s="114"/>
      <c r="Z443" s="115"/>
      <c r="AA443" s="114"/>
      <c r="AB443" s="114"/>
      <c r="AC443" s="115"/>
      <c r="AD443" s="116"/>
      <c r="AE443" s="114"/>
      <c r="AF443" s="114"/>
      <c r="AG443" s="114"/>
      <c r="AH443" s="1"/>
      <c r="AI443" s="95" t="str">
        <f aca="false">IF(INDEX($C:$C,443)&amp;INDEX($D:$D,443)="","",1)</f>
        <v/>
      </c>
      <c r="AJ443" s="95" t="str">
        <f aca="false">IF(OR(AI443="",INDEX($Z:$Z,443)="",INDEX($U:$U,443)="Declined"),"",1)</f>
        <v/>
      </c>
      <c r="AK443" s="95" t="str">
        <f aca="false">IF(AJ443="","",INDEX($Z:$Z,443)&amp;"-"&amp;COUNTIFS($Z$7:Z443,INDEX($Z:$Z,443),$AJ$7:AJ443,1))</f>
        <v/>
      </c>
      <c r="AL443" s="43" t="str">
        <f aca="false">IF(AI443="","",TRIM(INDEX($D:$D,443)&amp;" "&amp;INDEX($C:$C,443))&amp;IF(INDEX($I:$I,443)="Yes"," (child)",""))</f>
        <v/>
      </c>
      <c r="AM443" s="95" t="str">
        <f aca="false">IF(OR(AI443="",INDEX($X:$X,443)="",INDEX($U:$U,443)="Declined"),"",COUNTIFS($X$7:X443,"?*",$U$7:U443,"&lt;&gt;Declined",$AI$7:AI443,1))</f>
        <v/>
      </c>
      <c r="AN443" s="95" t="str">
        <f aca="false">IF(AI443="","",IF(INDEX($L:$L,443)="",1,IF(COUNTIF($L$7:L443,INDEX($L:$L,443))=1,1,"")))</f>
        <v/>
      </c>
      <c r="AO443" s="95" t="str">
        <f aca="false">IF(AN443&lt;&gt;1,"",IF(INDEX($L:$L,443)="",IF(INDEX($S:$S,443)="Yes",1,""),IF(COUNTIFS($L$7:$L$506,INDEX($L:$L,443),$S$7:$S$506,"Yes")&gt;0,1,"")))</f>
        <v/>
      </c>
      <c r="AP443" s="95" t="str">
        <f aca="false">IF(AN443&lt;&gt;1,"",IF(INDEX($L:$L,443)&lt;&gt;"",INDEX($L:$L,443),TRIM(INDEX($D:$D,443)&amp;" "&amp;INDEX($C:$C,443))))</f>
        <v/>
      </c>
      <c r="AQ443" s="43" t="str">
        <f aca="false">IF(OR(AI443="",INDEX($I:$I,443)="Yes"),"",1)</f>
        <v/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customFormat="false" ht="21.75" hidden="false" customHeight="true" outlineLevel="0" collapsed="false">
      <c r="A444" s="1"/>
      <c r="B444" s="113" t="str">
        <f aca="false">IF(AI444="","",COUNT($AI$7:AI444))</f>
        <v/>
      </c>
      <c r="C444" s="114"/>
      <c r="D444" s="114"/>
      <c r="E444" s="114"/>
      <c r="F444" s="114"/>
      <c r="G444" s="115"/>
      <c r="H444" s="115"/>
      <c r="I444" s="115"/>
      <c r="J444" s="115"/>
      <c r="K444" s="115"/>
      <c r="L444" s="114"/>
      <c r="M444" s="114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4"/>
      <c r="Y444" s="114"/>
      <c r="Z444" s="115"/>
      <c r="AA444" s="114"/>
      <c r="AB444" s="114"/>
      <c r="AC444" s="115"/>
      <c r="AD444" s="116"/>
      <c r="AE444" s="114"/>
      <c r="AF444" s="114"/>
      <c r="AG444" s="114"/>
      <c r="AH444" s="1"/>
      <c r="AI444" s="95" t="str">
        <f aca="false">IF(INDEX($C:$C,444)&amp;INDEX($D:$D,444)="","",1)</f>
        <v/>
      </c>
      <c r="AJ444" s="95" t="str">
        <f aca="false">IF(OR(AI444="",INDEX($Z:$Z,444)="",INDEX($U:$U,444)="Declined"),"",1)</f>
        <v/>
      </c>
      <c r="AK444" s="95" t="str">
        <f aca="false">IF(AJ444="","",INDEX($Z:$Z,444)&amp;"-"&amp;COUNTIFS($Z$7:Z444,INDEX($Z:$Z,444),$AJ$7:AJ444,1))</f>
        <v/>
      </c>
      <c r="AL444" s="43" t="str">
        <f aca="false">IF(AI444="","",TRIM(INDEX($D:$D,444)&amp;" "&amp;INDEX($C:$C,444))&amp;IF(INDEX($I:$I,444)="Yes"," (child)",""))</f>
        <v/>
      </c>
      <c r="AM444" s="95" t="str">
        <f aca="false">IF(OR(AI444="",INDEX($X:$X,444)="",INDEX($U:$U,444)="Declined"),"",COUNTIFS($X$7:X444,"?*",$U$7:U444,"&lt;&gt;Declined",$AI$7:AI444,1))</f>
        <v/>
      </c>
      <c r="AN444" s="95" t="str">
        <f aca="false">IF(AI444="","",IF(INDEX($L:$L,444)="",1,IF(COUNTIF($L$7:L444,INDEX($L:$L,444))=1,1,"")))</f>
        <v/>
      </c>
      <c r="AO444" s="95" t="str">
        <f aca="false">IF(AN444&lt;&gt;1,"",IF(INDEX($L:$L,444)="",IF(INDEX($S:$S,444)="Yes",1,""),IF(COUNTIFS($L$7:$L$506,INDEX($L:$L,444),$S$7:$S$506,"Yes")&gt;0,1,"")))</f>
        <v/>
      </c>
      <c r="AP444" s="95" t="str">
        <f aca="false">IF(AN444&lt;&gt;1,"",IF(INDEX($L:$L,444)&lt;&gt;"",INDEX($L:$L,444),TRIM(INDEX($D:$D,444)&amp;" "&amp;INDEX($C:$C,444))))</f>
        <v/>
      </c>
      <c r="AQ444" s="43" t="str">
        <f aca="false">IF(OR(AI444="",INDEX($I:$I,444)="Yes"),"",1)</f>
        <v/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customFormat="false" ht="21.75" hidden="false" customHeight="true" outlineLevel="0" collapsed="false">
      <c r="A445" s="1"/>
      <c r="B445" s="113" t="str">
        <f aca="false">IF(AI445="","",COUNT($AI$7:AI445))</f>
        <v/>
      </c>
      <c r="C445" s="114"/>
      <c r="D445" s="114"/>
      <c r="E445" s="114"/>
      <c r="F445" s="114"/>
      <c r="G445" s="115"/>
      <c r="H445" s="115"/>
      <c r="I445" s="115"/>
      <c r="J445" s="115"/>
      <c r="K445" s="115"/>
      <c r="L445" s="114"/>
      <c r="M445" s="114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4"/>
      <c r="Y445" s="114"/>
      <c r="Z445" s="115"/>
      <c r="AA445" s="114"/>
      <c r="AB445" s="114"/>
      <c r="AC445" s="115"/>
      <c r="AD445" s="116"/>
      <c r="AE445" s="114"/>
      <c r="AF445" s="114"/>
      <c r="AG445" s="114"/>
      <c r="AH445" s="1"/>
      <c r="AI445" s="95" t="str">
        <f aca="false">IF(INDEX($C:$C,445)&amp;INDEX($D:$D,445)="","",1)</f>
        <v/>
      </c>
      <c r="AJ445" s="95" t="str">
        <f aca="false">IF(OR(AI445="",INDEX($Z:$Z,445)="",INDEX($U:$U,445)="Declined"),"",1)</f>
        <v/>
      </c>
      <c r="AK445" s="95" t="str">
        <f aca="false">IF(AJ445="","",INDEX($Z:$Z,445)&amp;"-"&amp;COUNTIFS($Z$7:Z445,INDEX($Z:$Z,445),$AJ$7:AJ445,1))</f>
        <v/>
      </c>
      <c r="AL445" s="43" t="str">
        <f aca="false">IF(AI445="","",TRIM(INDEX($D:$D,445)&amp;" "&amp;INDEX($C:$C,445))&amp;IF(INDEX($I:$I,445)="Yes"," (child)",""))</f>
        <v/>
      </c>
      <c r="AM445" s="95" t="str">
        <f aca="false">IF(OR(AI445="",INDEX($X:$X,445)="",INDEX($U:$U,445)="Declined"),"",COUNTIFS($X$7:X445,"?*",$U$7:U445,"&lt;&gt;Declined",$AI$7:AI445,1))</f>
        <v/>
      </c>
      <c r="AN445" s="95" t="str">
        <f aca="false">IF(AI445="","",IF(INDEX($L:$L,445)="",1,IF(COUNTIF($L$7:L445,INDEX($L:$L,445))=1,1,"")))</f>
        <v/>
      </c>
      <c r="AO445" s="95" t="str">
        <f aca="false">IF(AN445&lt;&gt;1,"",IF(INDEX($L:$L,445)="",IF(INDEX($S:$S,445)="Yes",1,""),IF(COUNTIFS($L$7:$L$506,INDEX($L:$L,445),$S$7:$S$506,"Yes")&gt;0,1,"")))</f>
        <v/>
      </c>
      <c r="AP445" s="95" t="str">
        <f aca="false">IF(AN445&lt;&gt;1,"",IF(INDEX($L:$L,445)&lt;&gt;"",INDEX($L:$L,445),TRIM(INDEX($D:$D,445)&amp;" "&amp;INDEX($C:$C,445))))</f>
        <v/>
      </c>
      <c r="AQ445" s="43" t="str">
        <f aca="false">IF(OR(AI445="",INDEX($I:$I,445)="Yes"),"",1)</f>
        <v/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customFormat="false" ht="21.75" hidden="false" customHeight="true" outlineLevel="0" collapsed="false">
      <c r="A446" s="1"/>
      <c r="B446" s="113" t="str">
        <f aca="false">IF(AI446="","",COUNT($AI$7:AI446))</f>
        <v/>
      </c>
      <c r="C446" s="114"/>
      <c r="D446" s="114"/>
      <c r="E446" s="114"/>
      <c r="F446" s="114"/>
      <c r="G446" s="115"/>
      <c r="H446" s="115"/>
      <c r="I446" s="115"/>
      <c r="J446" s="115"/>
      <c r="K446" s="115"/>
      <c r="L446" s="114"/>
      <c r="M446" s="114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4"/>
      <c r="Y446" s="114"/>
      <c r="Z446" s="115"/>
      <c r="AA446" s="114"/>
      <c r="AB446" s="114"/>
      <c r="AC446" s="115"/>
      <c r="AD446" s="116"/>
      <c r="AE446" s="114"/>
      <c r="AF446" s="114"/>
      <c r="AG446" s="114"/>
      <c r="AH446" s="1"/>
      <c r="AI446" s="95" t="str">
        <f aca="false">IF(INDEX($C:$C,446)&amp;INDEX($D:$D,446)="","",1)</f>
        <v/>
      </c>
      <c r="AJ446" s="95" t="str">
        <f aca="false">IF(OR(AI446="",INDEX($Z:$Z,446)="",INDEX($U:$U,446)="Declined"),"",1)</f>
        <v/>
      </c>
      <c r="AK446" s="95" t="str">
        <f aca="false">IF(AJ446="","",INDEX($Z:$Z,446)&amp;"-"&amp;COUNTIFS($Z$7:Z446,INDEX($Z:$Z,446),$AJ$7:AJ446,1))</f>
        <v/>
      </c>
      <c r="AL446" s="43" t="str">
        <f aca="false">IF(AI446="","",TRIM(INDEX($D:$D,446)&amp;" "&amp;INDEX($C:$C,446))&amp;IF(INDEX($I:$I,446)="Yes"," (child)",""))</f>
        <v/>
      </c>
      <c r="AM446" s="95" t="str">
        <f aca="false">IF(OR(AI446="",INDEX($X:$X,446)="",INDEX($U:$U,446)="Declined"),"",COUNTIFS($X$7:X446,"?*",$U$7:U446,"&lt;&gt;Declined",$AI$7:AI446,1))</f>
        <v/>
      </c>
      <c r="AN446" s="95" t="str">
        <f aca="false">IF(AI446="","",IF(INDEX($L:$L,446)="",1,IF(COUNTIF($L$7:L446,INDEX($L:$L,446))=1,1,"")))</f>
        <v/>
      </c>
      <c r="AO446" s="95" t="str">
        <f aca="false">IF(AN446&lt;&gt;1,"",IF(INDEX($L:$L,446)="",IF(INDEX($S:$S,446)="Yes",1,""),IF(COUNTIFS($L$7:$L$506,INDEX($L:$L,446),$S$7:$S$506,"Yes")&gt;0,1,"")))</f>
        <v/>
      </c>
      <c r="AP446" s="95" t="str">
        <f aca="false">IF(AN446&lt;&gt;1,"",IF(INDEX($L:$L,446)&lt;&gt;"",INDEX($L:$L,446),TRIM(INDEX($D:$D,446)&amp;" "&amp;INDEX($C:$C,446))))</f>
        <v/>
      </c>
      <c r="AQ446" s="43" t="str">
        <f aca="false">IF(OR(AI446="",INDEX($I:$I,446)="Yes"),"",1)</f>
        <v/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customFormat="false" ht="21.75" hidden="false" customHeight="true" outlineLevel="0" collapsed="false">
      <c r="A447" s="1"/>
      <c r="B447" s="113" t="str">
        <f aca="false">IF(AI447="","",COUNT($AI$7:AI447))</f>
        <v/>
      </c>
      <c r="C447" s="114"/>
      <c r="D447" s="114"/>
      <c r="E447" s="114"/>
      <c r="F447" s="114"/>
      <c r="G447" s="115"/>
      <c r="H447" s="115"/>
      <c r="I447" s="115"/>
      <c r="J447" s="115"/>
      <c r="K447" s="115"/>
      <c r="L447" s="114"/>
      <c r="M447" s="114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4"/>
      <c r="Y447" s="114"/>
      <c r="Z447" s="115"/>
      <c r="AA447" s="114"/>
      <c r="AB447" s="114"/>
      <c r="AC447" s="115"/>
      <c r="AD447" s="116"/>
      <c r="AE447" s="114"/>
      <c r="AF447" s="114"/>
      <c r="AG447" s="114"/>
      <c r="AH447" s="1"/>
      <c r="AI447" s="95" t="str">
        <f aca="false">IF(INDEX($C:$C,447)&amp;INDEX($D:$D,447)="","",1)</f>
        <v/>
      </c>
      <c r="AJ447" s="95" t="str">
        <f aca="false">IF(OR(AI447="",INDEX($Z:$Z,447)="",INDEX($U:$U,447)="Declined"),"",1)</f>
        <v/>
      </c>
      <c r="AK447" s="95" t="str">
        <f aca="false">IF(AJ447="","",INDEX($Z:$Z,447)&amp;"-"&amp;COUNTIFS($Z$7:Z447,INDEX($Z:$Z,447),$AJ$7:AJ447,1))</f>
        <v/>
      </c>
      <c r="AL447" s="43" t="str">
        <f aca="false">IF(AI447="","",TRIM(INDEX($D:$D,447)&amp;" "&amp;INDEX($C:$C,447))&amp;IF(INDEX($I:$I,447)="Yes"," (child)",""))</f>
        <v/>
      </c>
      <c r="AM447" s="95" t="str">
        <f aca="false">IF(OR(AI447="",INDEX($X:$X,447)="",INDEX($U:$U,447)="Declined"),"",COUNTIFS($X$7:X447,"?*",$U$7:U447,"&lt;&gt;Declined",$AI$7:AI447,1))</f>
        <v/>
      </c>
      <c r="AN447" s="95" t="str">
        <f aca="false">IF(AI447="","",IF(INDEX($L:$L,447)="",1,IF(COUNTIF($L$7:L447,INDEX($L:$L,447))=1,1,"")))</f>
        <v/>
      </c>
      <c r="AO447" s="95" t="str">
        <f aca="false">IF(AN447&lt;&gt;1,"",IF(INDEX($L:$L,447)="",IF(INDEX($S:$S,447)="Yes",1,""),IF(COUNTIFS($L$7:$L$506,INDEX($L:$L,447),$S$7:$S$506,"Yes")&gt;0,1,"")))</f>
        <v/>
      </c>
      <c r="AP447" s="95" t="str">
        <f aca="false">IF(AN447&lt;&gt;1,"",IF(INDEX($L:$L,447)&lt;&gt;"",INDEX($L:$L,447),TRIM(INDEX($D:$D,447)&amp;" "&amp;INDEX($C:$C,447))))</f>
        <v/>
      </c>
      <c r="AQ447" s="43" t="str">
        <f aca="false">IF(OR(AI447="",INDEX($I:$I,447)="Yes"),"",1)</f>
        <v/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customFormat="false" ht="21.75" hidden="false" customHeight="true" outlineLevel="0" collapsed="false">
      <c r="A448" s="1"/>
      <c r="B448" s="113" t="str">
        <f aca="false">IF(AI448="","",COUNT($AI$7:AI448))</f>
        <v/>
      </c>
      <c r="C448" s="114"/>
      <c r="D448" s="114"/>
      <c r="E448" s="114"/>
      <c r="F448" s="114"/>
      <c r="G448" s="115"/>
      <c r="H448" s="115"/>
      <c r="I448" s="115"/>
      <c r="J448" s="115"/>
      <c r="K448" s="115"/>
      <c r="L448" s="114"/>
      <c r="M448" s="114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4"/>
      <c r="Y448" s="114"/>
      <c r="Z448" s="115"/>
      <c r="AA448" s="114"/>
      <c r="AB448" s="114"/>
      <c r="AC448" s="115"/>
      <c r="AD448" s="116"/>
      <c r="AE448" s="114"/>
      <c r="AF448" s="114"/>
      <c r="AG448" s="114"/>
      <c r="AH448" s="1"/>
      <c r="AI448" s="95" t="str">
        <f aca="false">IF(INDEX($C:$C,448)&amp;INDEX($D:$D,448)="","",1)</f>
        <v/>
      </c>
      <c r="AJ448" s="95" t="str">
        <f aca="false">IF(OR(AI448="",INDEX($Z:$Z,448)="",INDEX($U:$U,448)="Declined"),"",1)</f>
        <v/>
      </c>
      <c r="AK448" s="95" t="str">
        <f aca="false">IF(AJ448="","",INDEX($Z:$Z,448)&amp;"-"&amp;COUNTIFS($Z$7:Z448,INDEX($Z:$Z,448),$AJ$7:AJ448,1))</f>
        <v/>
      </c>
      <c r="AL448" s="43" t="str">
        <f aca="false">IF(AI448="","",TRIM(INDEX($D:$D,448)&amp;" "&amp;INDEX($C:$C,448))&amp;IF(INDEX($I:$I,448)="Yes"," (child)",""))</f>
        <v/>
      </c>
      <c r="AM448" s="95" t="str">
        <f aca="false">IF(OR(AI448="",INDEX($X:$X,448)="",INDEX($U:$U,448)="Declined"),"",COUNTIFS($X$7:X448,"?*",$U$7:U448,"&lt;&gt;Declined",$AI$7:AI448,1))</f>
        <v/>
      </c>
      <c r="AN448" s="95" t="str">
        <f aca="false">IF(AI448="","",IF(INDEX($L:$L,448)="",1,IF(COUNTIF($L$7:L448,INDEX($L:$L,448))=1,1,"")))</f>
        <v/>
      </c>
      <c r="AO448" s="95" t="str">
        <f aca="false">IF(AN448&lt;&gt;1,"",IF(INDEX($L:$L,448)="",IF(INDEX($S:$S,448)="Yes",1,""),IF(COUNTIFS($L$7:$L$506,INDEX($L:$L,448),$S$7:$S$506,"Yes")&gt;0,1,"")))</f>
        <v/>
      </c>
      <c r="AP448" s="95" t="str">
        <f aca="false">IF(AN448&lt;&gt;1,"",IF(INDEX($L:$L,448)&lt;&gt;"",INDEX($L:$L,448),TRIM(INDEX($D:$D,448)&amp;" "&amp;INDEX($C:$C,448))))</f>
        <v/>
      </c>
      <c r="AQ448" s="43" t="str">
        <f aca="false">IF(OR(AI448="",INDEX($I:$I,448)="Yes"),"",1)</f>
        <v/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customFormat="false" ht="21.75" hidden="false" customHeight="true" outlineLevel="0" collapsed="false">
      <c r="A449" s="1"/>
      <c r="B449" s="113" t="str">
        <f aca="false">IF(AI449="","",COUNT($AI$7:AI449))</f>
        <v/>
      </c>
      <c r="C449" s="114"/>
      <c r="D449" s="114"/>
      <c r="E449" s="114"/>
      <c r="F449" s="114"/>
      <c r="G449" s="115"/>
      <c r="H449" s="115"/>
      <c r="I449" s="115"/>
      <c r="J449" s="115"/>
      <c r="K449" s="115"/>
      <c r="L449" s="114"/>
      <c r="M449" s="114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4"/>
      <c r="Y449" s="114"/>
      <c r="Z449" s="115"/>
      <c r="AA449" s="114"/>
      <c r="AB449" s="114"/>
      <c r="AC449" s="115"/>
      <c r="AD449" s="116"/>
      <c r="AE449" s="114"/>
      <c r="AF449" s="114"/>
      <c r="AG449" s="114"/>
      <c r="AH449" s="1"/>
      <c r="AI449" s="95" t="str">
        <f aca="false">IF(INDEX($C:$C,449)&amp;INDEX($D:$D,449)="","",1)</f>
        <v/>
      </c>
      <c r="AJ449" s="95" t="str">
        <f aca="false">IF(OR(AI449="",INDEX($Z:$Z,449)="",INDEX($U:$U,449)="Declined"),"",1)</f>
        <v/>
      </c>
      <c r="AK449" s="95" t="str">
        <f aca="false">IF(AJ449="","",INDEX($Z:$Z,449)&amp;"-"&amp;COUNTIFS($Z$7:Z449,INDEX($Z:$Z,449),$AJ$7:AJ449,1))</f>
        <v/>
      </c>
      <c r="AL449" s="43" t="str">
        <f aca="false">IF(AI449="","",TRIM(INDEX($D:$D,449)&amp;" "&amp;INDEX($C:$C,449))&amp;IF(INDEX($I:$I,449)="Yes"," (child)",""))</f>
        <v/>
      </c>
      <c r="AM449" s="95" t="str">
        <f aca="false">IF(OR(AI449="",INDEX($X:$X,449)="",INDEX($U:$U,449)="Declined"),"",COUNTIFS($X$7:X449,"?*",$U$7:U449,"&lt;&gt;Declined",$AI$7:AI449,1))</f>
        <v/>
      </c>
      <c r="AN449" s="95" t="str">
        <f aca="false">IF(AI449="","",IF(INDEX($L:$L,449)="",1,IF(COUNTIF($L$7:L449,INDEX($L:$L,449))=1,1,"")))</f>
        <v/>
      </c>
      <c r="AO449" s="95" t="str">
        <f aca="false">IF(AN449&lt;&gt;1,"",IF(INDEX($L:$L,449)="",IF(INDEX($S:$S,449)="Yes",1,""),IF(COUNTIFS($L$7:$L$506,INDEX($L:$L,449),$S$7:$S$506,"Yes")&gt;0,1,"")))</f>
        <v/>
      </c>
      <c r="AP449" s="95" t="str">
        <f aca="false">IF(AN449&lt;&gt;1,"",IF(INDEX($L:$L,449)&lt;&gt;"",INDEX($L:$L,449),TRIM(INDEX($D:$D,449)&amp;" "&amp;INDEX($C:$C,449))))</f>
        <v/>
      </c>
      <c r="AQ449" s="43" t="str">
        <f aca="false">IF(OR(AI449="",INDEX($I:$I,449)="Yes"),"",1)</f>
        <v/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customFormat="false" ht="21.75" hidden="false" customHeight="true" outlineLevel="0" collapsed="false">
      <c r="A450" s="1"/>
      <c r="B450" s="113" t="str">
        <f aca="false">IF(AI450="","",COUNT($AI$7:AI450))</f>
        <v/>
      </c>
      <c r="C450" s="114"/>
      <c r="D450" s="114"/>
      <c r="E450" s="114"/>
      <c r="F450" s="114"/>
      <c r="G450" s="115"/>
      <c r="H450" s="115"/>
      <c r="I450" s="115"/>
      <c r="J450" s="115"/>
      <c r="K450" s="115"/>
      <c r="L450" s="114"/>
      <c r="M450" s="114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4"/>
      <c r="Y450" s="114"/>
      <c r="Z450" s="115"/>
      <c r="AA450" s="114"/>
      <c r="AB450" s="114"/>
      <c r="AC450" s="115"/>
      <c r="AD450" s="116"/>
      <c r="AE450" s="114"/>
      <c r="AF450" s="114"/>
      <c r="AG450" s="114"/>
      <c r="AH450" s="1"/>
      <c r="AI450" s="95" t="str">
        <f aca="false">IF(INDEX($C:$C,450)&amp;INDEX($D:$D,450)="","",1)</f>
        <v/>
      </c>
      <c r="AJ450" s="95" t="str">
        <f aca="false">IF(OR(AI450="",INDEX($Z:$Z,450)="",INDEX($U:$U,450)="Declined"),"",1)</f>
        <v/>
      </c>
      <c r="AK450" s="95" t="str">
        <f aca="false">IF(AJ450="","",INDEX($Z:$Z,450)&amp;"-"&amp;COUNTIFS($Z$7:Z450,INDEX($Z:$Z,450),$AJ$7:AJ450,1))</f>
        <v/>
      </c>
      <c r="AL450" s="43" t="str">
        <f aca="false">IF(AI450="","",TRIM(INDEX($D:$D,450)&amp;" "&amp;INDEX($C:$C,450))&amp;IF(INDEX($I:$I,450)="Yes"," (child)",""))</f>
        <v/>
      </c>
      <c r="AM450" s="95" t="str">
        <f aca="false">IF(OR(AI450="",INDEX($X:$X,450)="",INDEX($U:$U,450)="Declined"),"",COUNTIFS($X$7:X450,"?*",$U$7:U450,"&lt;&gt;Declined",$AI$7:AI450,1))</f>
        <v/>
      </c>
      <c r="AN450" s="95" t="str">
        <f aca="false">IF(AI450="","",IF(INDEX($L:$L,450)="",1,IF(COUNTIF($L$7:L450,INDEX($L:$L,450))=1,1,"")))</f>
        <v/>
      </c>
      <c r="AO450" s="95" t="str">
        <f aca="false">IF(AN450&lt;&gt;1,"",IF(INDEX($L:$L,450)="",IF(INDEX($S:$S,450)="Yes",1,""),IF(COUNTIFS($L$7:$L$506,INDEX($L:$L,450),$S$7:$S$506,"Yes")&gt;0,1,"")))</f>
        <v/>
      </c>
      <c r="AP450" s="95" t="str">
        <f aca="false">IF(AN450&lt;&gt;1,"",IF(INDEX($L:$L,450)&lt;&gt;"",INDEX($L:$L,450),TRIM(INDEX($D:$D,450)&amp;" "&amp;INDEX($C:$C,450))))</f>
        <v/>
      </c>
      <c r="AQ450" s="43" t="str">
        <f aca="false">IF(OR(AI450="",INDEX($I:$I,450)="Yes"),"",1)</f>
        <v/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customFormat="false" ht="21.75" hidden="false" customHeight="true" outlineLevel="0" collapsed="false">
      <c r="A451" s="1"/>
      <c r="B451" s="113" t="str">
        <f aca="false">IF(AI451="","",COUNT($AI$7:AI451))</f>
        <v/>
      </c>
      <c r="C451" s="114"/>
      <c r="D451" s="114"/>
      <c r="E451" s="114"/>
      <c r="F451" s="114"/>
      <c r="G451" s="115"/>
      <c r="H451" s="115"/>
      <c r="I451" s="115"/>
      <c r="J451" s="115"/>
      <c r="K451" s="115"/>
      <c r="L451" s="114"/>
      <c r="M451" s="114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4"/>
      <c r="Y451" s="114"/>
      <c r="Z451" s="115"/>
      <c r="AA451" s="114"/>
      <c r="AB451" s="114"/>
      <c r="AC451" s="115"/>
      <c r="AD451" s="116"/>
      <c r="AE451" s="114"/>
      <c r="AF451" s="114"/>
      <c r="AG451" s="114"/>
      <c r="AH451" s="1"/>
      <c r="AI451" s="95" t="str">
        <f aca="false">IF(INDEX($C:$C,451)&amp;INDEX($D:$D,451)="","",1)</f>
        <v/>
      </c>
      <c r="AJ451" s="95" t="str">
        <f aca="false">IF(OR(AI451="",INDEX($Z:$Z,451)="",INDEX($U:$U,451)="Declined"),"",1)</f>
        <v/>
      </c>
      <c r="AK451" s="95" t="str">
        <f aca="false">IF(AJ451="","",INDEX($Z:$Z,451)&amp;"-"&amp;COUNTIFS($Z$7:Z451,INDEX($Z:$Z,451),$AJ$7:AJ451,1))</f>
        <v/>
      </c>
      <c r="AL451" s="43" t="str">
        <f aca="false">IF(AI451="","",TRIM(INDEX($D:$D,451)&amp;" "&amp;INDEX($C:$C,451))&amp;IF(INDEX($I:$I,451)="Yes"," (child)",""))</f>
        <v/>
      </c>
      <c r="AM451" s="95" t="str">
        <f aca="false">IF(OR(AI451="",INDEX($X:$X,451)="",INDEX($U:$U,451)="Declined"),"",COUNTIFS($X$7:X451,"?*",$U$7:U451,"&lt;&gt;Declined",$AI$7:AI451,1))</f>
        <v/>
      </c>
      <c r="AN451" s="95" t="str">
        <f aca="false">IF(AI451="","",IF(INDEX($L:$L,451)="",1,IF(COUNTIF($L$7:L451,INDEX($L:$L,451))=1,1,"")))</f>
        <v/>
      </c>
      <c r="AO451" s="95" t="str">
        <f aca="false">IF(AN451&lt;&gt;1,"",IF(INDEX($L:$L,451)="",IF(INDEX($S:$S,451)="Yes",1,""),IF(COUNTIFS($L$7:$L$506,INDEX($L:$L,451),$S$7:$S$506,"Yes")&gt;0,1,"")))</f>
        <v/>
      </c>
      <c r="AP451" s="95" t="str">
        <f aca="false">IF(AN451&lt;&gt;1,"",IF(INDEX($L:$L,451)&lt;&gt;"",INDEX($L:$L,451),TRIM(INDEX($D:$D,451)&amp;" "&amp;INDEX($C:$C,451))))</f>
        <v/>
      </c>
      <c r="AQ451" s="43" t="str">
        <f aca="false">IF(OR(AI451="",INDEX($I:$I,451)="Yes"),"",1)</f>
        <v/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customFormat="false" ht="21.75" hidden="false" customHeight="true" outlineLevel="0" collapsed="false">
      <c r="A452" s="1"/>
      <c r="B452" s="113" t="str">
        <f aca="false">IF(AI452="","",COUNT($AI$7:AI452))</f>
        <v/>
      </c>
      <c r="C452" s="114"/>
      <c r="D452" s="114"/>
      <c r="E452" s="114"/>
      <c r="F452" s="114"/>
      <c r="G452" s="115"/>
      <c r="H452" s="115"/>
      <c r="I452" s="115"/>
      <c r="J452" s="115"/>
      <c r="K452" s="115"/>
      <c r="L452" s="114"/>
      <c r="M452" s="114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4"/>
      <c r="Y452" s="114"/>
      <c r="Z452" s="115"/>
      <c r="AA452" s="114"/>
      <c r="AB452" s="114"/>
      <c r="AC452" s="115"/>
      <c r="AD452" s="116"/>
      <c r="AE452" s="114"/>
      <c r="AF452" s="114"/>
      <c r="AG452" s="114"/>
      <c r="AH452" s="1"/>
      <c r="AI452" s="95" t="str">
        <f aca="false">IF(INDEX($C:$C,452)&amp;INDEX($D:$D,452)="","",1)</f>
        <v/>
      </c>
      <c r="AJ452" s="95" t="str">
        <f aca="false">IF(OR(AI452="",INDEX($Z:$Z,452)="",INDEX($U:$U,452)="Declined"),"",1)</f>
        <v/>
      </c>
      <c r="AK452" s="95" t="str">
        <f aca="false">IF(AJ452="","",INDEX($Z:$Z,452)&amp;"-"&amp;COUNTIFS($Z$7:Z452,INDEX($Z:$Z,452),$AJ$7:AJ452,1))</f>
        <v/>
      </c>
      <c r="AL452" s="43" t="str">
        <f aca="false">IF(AI452="","",TRIM(INDEX($D:$D,452)&amp;" "&amp;INDEX($C:$C,452))&amp;IF(INDEX($I:$I,452)="Yes"," (child)",""))</f>
        <v/>
      </c>
      <c r="AM452" s="95" t="str">
        <f aca="false">IF(OR(AI452="",INDEX($X:$X,452)="",INDEX($U:$U,452)="Declined"),"",COUNTIFS($X$7:X452,"?*",$U$7:U452,"&lt;&gt;Declined",$AI$7:AI452,1))</f>
        <v/>
      </c>
      <c r="AN452" s="95" t="str">
        <f aca="false">IF(AI452="","",IF(INDEX($L:$L,452)="",1,IF(COUNTIF($L$7:L452,INDEX($L:$L,452))=1,1,"")))</f>
        <v/>
      </c>
      <c r="AO452" s="95" t="str">
        <f aca="false">IF(AN452&lt;&gt;1,"",IF(INDEX($L:$L,452)="",IF(INDEX($S:$S,452)="Yes",1,""),IF(COUNTIFS($L$7:$L$506,INDEX($L:$L,452),$S$7:$S$506,"Yes")&gt;0,1,"")))</f>
        <v/>
      </c>
      <c r="AP452" s="95" t="str">
        <f aca="false">IF(AN452&lt;&gt;1,"",IF(INDEX($L:$L,452)&lt;&gt;"",INDEX($L:$L,452),TRIM(INDEX($D:$D,452)&amp;" "&amp;INDEX($C:$C,452))))</f>
        <v/>
      </c>
      <c r="AQ452" s="43" t="str">
        <f aca="false">IF(OR(AI452="",INDEX($I:$I,452)="Yes"),"",1)</f>
        <v/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customFormat="false" ht="21.75" hidden="false" customHeight="true" outlineLevel="0" collapsed="false">
      <c r="A453" s="1"/>
      <c r="B453" s="113" t="str">
        <f aca="false">IF(AI453="","",COUNT($AI$7:AI453))</f>
        <v/>
      </c>
      <c r="C453" s="114"/>
      <c r="D453" s="114"/>
      <c r="E453" s="114"/>
      <c r="F453" s="114"/>
      <c r="G453" s="115"/>
      <c r="H453" s="115"/>
      <c r="I453" s="115"/>
      <c r="J453" s="115"/>
      <c r="K453" s="115"/>
      <c r="L453" s="114"/>
      <c r="M453" s="114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4"/>
      <c r="Y453" s="114"/>
      <c r="Z453" s="115"/>
      <c r="AA453" s="114"/>
      <c r="AB453" s="114"/>
      <c r="AC453" s="115"/>
      <c r="AD453" s="116"/>
      <c r="AE453" s="114"/>
      <c r="AF453" s="114"/>
      <c r="AG453" s="114"/>
      <c r="AH453" s="1"/>
      <c r="AI453" s="95" t="str">
        <f aca="false">IF(INDEX($C:$C,453)&amp;INDEX($D:$D,453)="","",1)</f>
        <v/>
      </c>
      <c r="AJ453" s="95" t="str">
        <f aca="false">IF(OR(AI453="",INDEX($Z:$Z,453)="",INDEX($U:$U,453)="Declined"),"",1)</f>
        <v/>
      </c>
      <c r="AK453" s="95" t="str">
        <f aca="false">IF(AJ453="","",INDEX($Z:$Z,453)&amp;"-"&amp;COUNTIFS($Z$7:Z453,INDEX($Z:$Z,453),$AJ$7:AJ453,1))</f>
        <v/>
      </c>
      <c r="AL453" s="43" t="str">
        <f aca="false">IF(AI453="","",TRIM(INDEX($D:$D,453)&amp;" "&amp;INDEX($C:$C,453))&amp;IF(INDEX($I:$I,453)="Yes"," (child)",""))</f>
        <v/>
      </c>
      <c r="AM453" s="95" t="str">
        <f aca="false">IF(OR(AI453="",INDEX($X:$X,453)="",INDEX($U:$U,453)="Declined"),"",COUNTIFS($X$7:X453,"?*",$U$7:U453,"&lt;&gt;Declined",$AI$7:AI453,1))</f>
        <v/>
      </c>
      <c r="AN453" s="95" t="str">
        <f aca="false">IF(AI453="","",IF(INDEX($L:$L,453)="",1,IF(COUNTIF($L$7:L453,INDEX($L:$L,453))=1,1,"")))</f>
        <v/>
      </c>
      <c r="AO453" s="95" t="str">
        <f aca="false">IF(AN453&lt;&gt;1,"",IF(INDEX($L:$L,453)="",IF(INDEX($S:$S,453)="Yes",1,""),IF(COUNTIFS($L$7:$L$506,INDEX($L:$L,453),$S$7:$S$506,"Yes")&gt;0,1,"")))</f>
        <v/>
      </c>
      <c r="AP453" s="95" t="str">
        <f aca="false">IF(AN453&lt;&gt;1,"",IF(INDEX($L:$L,453)&lt;&gt;"",INDEX($L:$L,453),TRIM(INDEX($D:$D,453)&amp;" "&amp;INDEX($C:$C,453))))</f>
        <v/>
      </c>
      <c r="AQ453" s="43" t="str">
        <f aca="false">IF(OR(AI453="",INDEX($I:$I,453)="Yes"),"",1)</f>
        <v/>
      </c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customFormat="false" ht="21.75" hidden="false" customHeight="true" outlineLevel="0" collapsed="false">
      <c r="A454" s="1"/>
      <c r="B454" s="113" t="str">
        <f aca="false">IF(AI454="","",COUNT($AI$7:AI454))</f>
        <v/>
      </c>
      <c r="C454" s="114"/>
      <c r="D454" s="114"/>
      <c r="E454" s="114"/>
      <c r="F454" s="114"/>
      <c r="G454" s="115"/>
      <c r="H454" s="115"/>
      <c r="I454" s="115"/>
      <c r="J454" s="115"/>
      <c r="K454" s="115"/>
      <c r="L454" s="114"/>
      <c r="M454" s="114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4"/>
      <c r="Y454" s="114"/>
      <c r="Z454" s="115"/>
      <c r="AA454" s="114"/>
      <c r="AB454" s="114"/>
      <c r="AC454" s="115"/>
      <c r="AD454" s="116"/>
      <c r="AE454" s="114"/>
      <c r="AF454" s="114"/>
      <c r="AG454" s="114"/>
      <c r="AH454" s="1"/>
      <c r="AI454" s="95" t="str">
        <f aca="false">IF(INDEX($C:$C,454)&amp;INDEX($D:$D,454)="","",1)</f>
        <v/>
      </c>
      <c r="AJ454" s="95" t="str">
        <f aca="false">IF(OR(AI454="",INDEX($Z:$Z,454)="",INDEX($U:$U,454)="Declined"),"",1)</f>
        <v/>
      </c>
      <c r="AK454" s="95" t="str">
        <f aca="false">IF(AJ454="","",INDEX($Z:$Z,454)&amp;"-"&amp;COUNTIFS($Z$7:Z454,INDEX($Z:$Z,454),$AJ$7:AJ454,1))</f>
        <v/>
      </c>
      <c r="AL454" s="43" t="str">
        <f aca="false">IF(AI454="","",TRIM(INDEX($D:$D,454)&amp;" "&amp;INDEX($C:$C,454))&amp;IF(INDEX($I:$I,454)="Yes"," (child)",""))</f>
        <v/>
      </c>
      <c r="AM454" s="95" t="str">
        <f aca="false">IF(OR(AI454="",INDEX($X:$X,454)="",INDEX($U:$U,454)="Declined"),"",COUNTIFS($X$7:X454,"?*",$U$7:U454,"&lt;&gt;Declined",$AI$7:AI454,1))</f>
        <v/>
      </c>
      <c r="AN454" s="95" t="str">
        <f aca="false">IF(AI454="","",IF(INDEX($L:$L,454)="",1,IF(COUNTIF($L$7:L454,INDEX($L:$L,454))=1,1,"")))</f>
        <v/>
      </c>
      <c r="AO454" s="95" t="str">
        <f aca="false">IF(AN454&lt;&gt;1,"",IF(INDEX($L:$L,454)="",IF(INDEX($S:$S,454)="Yes",1,""),IF(COUNTIFS($L$7:$L$506,INDEX($L:$L,454),$S$7:$S$506,"Yes")&gt;0,1,"")))</f>
        <v/>
      </c>
      <c r="AP454" s="95" t="str">
        <f aca="false">IF(AN454&lt;&gt;1,"",IF(INDEX($L:$L,454)&lt;&gt;"",INDEX($L:$L,454),TRIM(INDEX($D:$D,454)&amp;" "&amp;INDEX($C:$C,454))))</f>
        <v/>
      </c>
      <c r="AQ454" s="43" t="str">
        <f aca="false">IF(OR(AI454="",INDEX($I:$I,454)="Yes"),"",1)</f>
        <v/>
      </c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customFormat="false" ht="21.75" hidden="false" customHeight="true" outlineLevel="0" collapsed="false">
      <c r="A455" s="1"/>
      <c r="B455" s="113" t="str">
        <f aca="false">IF(AI455="","",COUNT($AI$7:AI455))</f>
        <v/>
      </c>
      <c r="C455" s="114"/>
      <c r="D455" s="114"/>
      <c r="E455" s="114"/>
      <c r="F455" s="114"/>
      <c r="G455" s="115"/>
      <c r="H455" s="115"/>
      <c r="I455" s="115"/>
      <c r="J455" s="115"/>
      <c r="K455" s="115"/>
      <c r="L455" s="114"/>
      <c r="M455" s="114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4"/>
      <c r="Y455" s="114"/>
      <c r="Z455" s="115"/>
      <c r="AA455" s="114"/>
      <c r="AB455" s="114"/>
      <c r="AC455" s="115"/>
      <c r="AD455" s="116"/>
      <c r="AE455" s="114"/>
      <c r="AF455" s="114"/>
      <c r="AG455" s="114"/>
      <c r="AH455" s="1"/>
      <c r="AI455" s="95" t="str">
        <f aca="false">IF(INDEX($C:$C,455)&amp;INDEX($D:$D,455)="","",1)</f>
        <v/>
      </c>
      <c r="AJ455" s="95" t="str">
        <f aca="false">IF(OR(AI455="",INDEX($Z:$Z,455)="",INDEX($U:$U,455)="Declined"),"",1)</f>
        <v/>
      </c>
      <c r="AK455" s="95" t="str">
        <f aca="false">IF(AJ455="","",INDEX($Z:$Z,455)&amp;"-"&amp;COUNTIFS($Z$7:Z455,INDEX($Z:$Z,455),$AJ$7:AJ455,1))</f>
        <v/>
      </c>
      <c r="AL455" s="43" t="str">
        <f aca="false">IF(AI455="","",TRIM(INDEX($D:$D,455)&amp;" "&amp;INDEX($C:$C,455))&amp;IF(INDEX($I:$I,455)="Yes"," (child)",""))</f>
        <v/>
      </c>
      <c r="AM455" s="95" t="str">
        <f aca="false">IF(OR(AI455="",INDEX($X:$X,455)="",INDEX($U:$U,455)="Declined"),"",COUNTIFS($X$7:X455,"?*",$U$7:U455,"&lt;&gt;Declined",$AI$7:AI455,1))</f>
        <v/>
      </c>
      <c r="AN455" s="95" t="str">
        <f aca="false">IF(AI455="","",IF(INDEX($L:$L,455)="",1,IF(COUNTIF($L$7:L455,INDEX($L:$L,455))=1,1,"")))</f>
        <v/>
      </c>
      <c r="AO455" s="95" t="str">
        <f aca="false">IF(AN455&lt;&gt;1,"",IF(INDEX($L:$L,455)="",IF(INDEX($S:$S,455)="Yes",1,""),IF(COUNTIFS($L$7:$L$506,INDEX($L:$L,455),$S$7:$S$506,"Yes")&gt;0,1,"")))</f>
        <v/>
      </c>
      <c r="AP455" s="95" t="str">
        <f aca="false">IF(AN455&lt;&gt;1,"",IF(INDEX($L:$L,455)&lt;&gt;"",INDEX($L:$L,455),TRIM(INDEX($D:$D,455)&amp;" "&amp;INDEX($C:$C,455))))</f>
        <v/>
      </c>
      <c r="AQ455" s="43" t="str">
        <f aca="false">IF(OR(AI455="",INDEX($I:$I,455)="Yes"),"",1)</f>
        <v/>
      </c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customFormat="false" ht="21.75" hidden="false" customHeight="true" outlineLevel="0" collapsed="false">
      <c r="A456" s="1"/>
      <c r="B456" s="113" t="str">
        <f aca="false">IF(AI456="","",COUNT($AI$7:AI456))</f>
        <v/>
      </c>
      <c r="C456" s="114"/>
      <c r="D456" s="114"/>
      <c r="E456" s="114"/>
      <c r="F456" s="114"/>
      <c r="G456" s="115"/>
      <c r="H456" s="115"/>
      <c r="I456" s="115"/>
      <c r="J456" s="115"/>
      <c r="K456" s="115"/>
      <c r="L456" s="114"/>
      <c r="M456" s="114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4"/>
      <c r="Y456" s="114"/>
      <c r="Z456" s="115"/>
      <c r="AA456" s="114"/>
      <c r="AB456" s="114"/>
      <c r="AC456" s="115"/>
      <c r="AD456" s="116"/>
      <c r="AE456" s="114"/>
      <c r="AF456" s="114"/>
      <c r="AG456" s="114"/>
      <c r="AH456" s="1"/>
      <c r="AI456" s="95" t="str">
        <f aca="false">IF(INDEX($C:$C,456)&amp;INDEX($D:$D,456)="","",1)</f>
        <v/>
      </c>
      <c r="AJ456" s="95" t="str">
        <f aca="false">IF(OR(AI456="",INDEX($Z:$Z,456)="",INDEX($U:$U,456)="Declined"),"",1)</f>
        <v/>
      </c>
      <c r="AK456" s="95" t="str">
        <f aca="false">IF(AJ456="","",INDEX($Z:$Z,456)&amp;"-"&amp;COUNTIFS($Z$7:Z456,INDEX($Z:$Z,456),$AJ$7:AJ456,1))</f>
        <v/>
      </c>
      <c r="AL456" s="43" t="str">
        <f aca="false">IF(AI456="","",TRIM(INDEX($D:$D,456)&amp;" "&amp;INDEX($C:$C,456))&amp;IF(INDEX($I:$I,456)="Yes"," (child)",""))</f>
        <v/>
      </c>
      <c r="AM456" s="95" t="str">
        <f aca="false">IF(OR(AI456="",INDEX($X:$X,456)="",INDEX($U:$U,456)="Declined"),"",COUNTIFS($X$7:X456,"?*",$U$7:U456,"&lt;&gt;Declined",$AI$7:AI456,1))</f>
        <v/>
      </c>
      <c r="AN456" s="95" t="str">
        <f aca="false">IF(AI456="","",IF(INDEX($L:$L,456)="",1,IF(COUNTIF($L$7:L456,INDEX($L:$L,456))=1,1,"")))</f>
        <v/>
      </c>
      <c r="AO456" s="95" t="str">
        <f aca="false">IF(AN456&lt;&gt;1,"",IF(INDEX($L:$L,456)="",IF(INDEX($S:$S,456)="Yes",1,""),IF(COUNTIFS($L$7:$L$506,INDEX($L:$L,456),$S$7:$S$506,"Yes")&gt;0,1,"")))</f>
        <v/>
      </c>
      <c r="AP456" s="95" t="str">
        <f aca="false">IF(AN456&lt;&gt;1,"",IF(INDEX($L:$L,456)&lt;&gt;"",INDEX($L:$L,456),TRIM(INDEX($D:$D,456)&amp;" "&amp;INDEX($C:$C,456))))</f>
        <v/>
      </c>
      <c r="AQ456" s="43" t="str">
        <f aca="false">IF(OR(AI456="",INDEX($I:$I,456)="Yes"),"",1)</f>
        <v/>
      </c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customFormat="false" ht="21.75" hidden="false" customHeight="true" outlineLevel="0" collapsed="false">
      <c r="A457" s="1"/>
      <c r="B457" s="113" t="str">
        <f aca="false">IF(AI457="","",COUNT($AI$7:AI457))</f>
        <v/>
      </c>
      <c r="C457" s="114"/>
      <c r="D457" s="114"/>
      <c r="E457" s="114"/>
      <c r="F457" s="114"/>
      <c r="G457" s="115"/>
      <c r="H457" s="115"/>
      <c r="I457" s="115"/>
      <c r="J457" s="115"/>
      <c r="K457" s="115"/>
      <c r="L457" s="114"/>
      <c r="M457" s="114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4"/>
      <c r="Y457" s="114"/>
      <c r="Z457" s="115"/>
      <c r="AA457" s="114"/>
      <c r="AB457" s="114"/>
      <c r="AC457" s="115"/>
      <c r="AD457" s="116"/>
      <c r="AE457" s="114"/>
      <c r="AF457" s="114"/>
      <c r="AG457" s="114"/>
      <c r="AH457" s="1"/>
      <c r="AI457" s="95" t="str">
        <f aca="false">IF(INDEX($C:$C,457)&amp;INDEX($D:$D,457)="","",1)</f>
        <v/>
      </c>
      <c r="AJ457" s="95" t="str">
        <f aca="false">IF(OR(AI457="",INDEX($Z:$Z,457)="",INDEX($U:$U,457)="Declined"),"",1)</f>
        <v/>
      </c>
      <c r="AK457" s="95" t="str">
        <f aca="false">IF(AJ457="","",INDEX($Z:$Z,457)&amp;"-"&amp;COUNTIFS($Z$7:Z457,INDEX($Z:$Z,457),$AJ$7:AJ457,1))</f>
        <v/>
      </c>
      <c r="AL457" s="43" t="str">
        <f aca="false">IF(AI457="","",TRIM(INDEX($D:$D,457)&amp;" "&amp;INDEX($C:$C,457))&amp;IF(INDEX($I:$I,457)="Yes"," (child)",""))</f>
        <v/>
      </c>
      <c r="AM457" s="95" t="str">
        <f aca="false">IF(OR(AI457="",INDEX($X:$X,457)="",INDEX($U:$U,457)="Declined"),"",COUNTIFS($X$7:X457,"?*",$U$7:U457,"&lt;&gt;Declined",$AI$7:AI457,1))</f>
        <v/>
      </c>
      <c r="AN457" s="95" t="str">
        <f aca="false">IF(AI457="","",IF(INDEX($L:$L,457)="",1,IF(COUNTIF($L$7:L457,INDEX($L:$L,457))=1,1,"")))</f>
        <v/>
      </c>
      <c r="AO457" s="95" t="str">
        <f aca="false">IF(AN457&lt;&gt;1,"",IF(INDEX($L:$L,457)="",IF(INDEX($S:$S,457)="Yes",1,""),IF(COUNTIFS($L$7:$L$506,INDEX($L:$L,457),$S$7:$S$506,"Yes")&gt;0,1,"")))</f>
        <v/>
      </c>
      <c r="AP457" s="95" t="str">
        <f aca="false">IF(AN457&lt;&gt;1,"",IF(INDEX($L:$L,457)&lt;&gt;"",INDEX($L:$L,457),TRIM(INDEX($D:$D,457)&amp;" "&amp;INDEX($C:$C,457))))</f>
        <v/>
      </c>
      <c r="AQ457" s="43" t="str">
        <f aca="false">IF(OR(AI457="",INDEX($I:$I,457)="Yes"),"",1)</f>
        <v/>
      </c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customFormat="false" ht="21.75" hidden="false" customHeight="true" outlineLevel="0" collapsed="false">
      <c r="A458" s="1"/>
      <c r="B458" s="113" t="str">
        <f aca="false">IF(AI458="","",COUNT($AI$7:AI458))</f>
        <v/>
      </c>
      <c r="C458" s="114"/>
      <c r="D458" s="114"/>
      <c r="E458" s="114"/>
      <c r="F458" s="114"/>
      <c r="G458" s="115"/>
      <c r="H458" s="115"/>
      <c r="I458" s="115"/>
      <c r="J458" s="115"/>
      <c r="K458" s="115"/>
      <c r="L458" s="114"/>
      <c r="M458" s="114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4"/>
      <c r="Y458" s="114"/>
      <c r="Z458" s="115"/>
      <c r="AA458" s="114"/>
      <c r="AB458" s="114"/>
      <c r="AC458" s="115"/>
      <c r="AD458" s="116"/>
      <c r="AE458" s="114"/>
      <c r="AF458" s="114"/>
      <c r="AG458" s="114"/>
      <c r="AH458" s="1"/>
      <c r="AI458" s="95" t="str">
        <f aca="false">IF(INDEX($C:$C,458)&amp;INDEX($D:$D,458)="","",1)</f>
        <v/>
      </c>
      <c r="AJ458" s="95" t="str">
        <f aca="false">IF(OR(AI458="",INDEX($Z:$Z,458)="",INDEX($U:$U,458)="Declined"),"",1)</f>
        <v/>
      </c>
      <c r="AK458" s="95" t="str">
        <f aca="false">IF(AJ458="","",INDEX($Z:$Z,458)&amp;"-"&amp;COUNTIFS($Z$7:Z458,INDEX($Z:$Z,458),$AJ$7:AJ458,1))</f>
        <v/>
      </c>
      <c r="AL458" s="43" t="str">
        <f aca="false">IF(AI458="","",TRIM(INDEX($D:$D,458)&amp;" "&amp;INDEX($C:$C,458))&amp;IF(INDEX($I:$I,458)="Yes"," (child)",""))</f>
        <v/>
      </c>
      <c r="AM458" s="95" t="str">
        <f aca="false">IF(OR(AI458="",INDEX($X:$X,458)="",INDEX($U:$U,458)="Declined"),"",COUNTIFS($X$7:X458,"?*",$U$7:U458,"&lt;&gt;Declined",$AI$7:AI458,1))</f>
        <v/>
      </c>
      <c r="AN458" s="95" t="str">
        <f aca="false">IF(AI458="","",IF(INDEX($L:$L,458)="",1,IF(COUNTIF($L$7:L458,INDEX($L:$L,458))=1,1,"")))</f>
        <v/>
      </c>
      <c r="AO458" s="95" t="str">
        <f aca="false">IF(AN458&lt;&gt;1,"",IF(INDEX($L:$L,458)="",IF(INDEX($S:$S,458)="Yes",1,""),IF(COUNTIFS($L$7:$L$506,INDEX($L:$L,458),$S$7:$S$506,"Yes")&gt;0,1,"")))</f>
        <v/>
      </c>
      <c r="AP458" s="95" t="str">
        <f aca="false">IF(AN458&lt;&gt;1,"",IF(INDEX($L:$L,458)&lt;&gt;"",INDEX($L:$L,458),TRIM(INDEX($D:$D,458)&amp;" "&amp;INDEX($C:$C,458))))</f>
        <v/>
      </c>
      <c r="AQ458" s="43" t="str">
        <f aca="false">IF(OR(AI458="",INDEX($I:$I,458)="Yes"),"",1)</f>
        <v/>
      </c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customFormat="false" ht="21.75" hidden="false" customHeight="true" outlineLevel="0" collapsed="false">
      <c r="A459" s="1"/>
      <c r="B459" s="113" t="str">
        <f aca="false">IF(AI459="","",COUNT($AI$7:AI459))</f>
        <v/>
      </c>
      <c r="C459" s="114"/>
      <c r="D459" s="114"/>
      <c r="E459" s="114"/>
      <c r="F459" s="114"/>
      <c r="G459" s="115"/>
      <c r="H459" s="115"/>
      <c r="I459" s="115"/>
      <c r="J459" s="115"/>
      <c r="K459" s="115"/>
      <c r="L459" s="114"/>
      <c r="M459" s="114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4"/>
      <c r="Y459" s="114"/>
      <c r="Z459" s="115"/>
      <c r="AA459" s="114"/>
      <c r="AB459" s="114"/>
      <c r="AC459" s="115"/>
      <c r="AD459" s="116"/>
      <c r="AE459" s="114"/>
      <c r="AF459" s="114"/>
      <c r="AG459" s="114"/>
      <c r="AH459" s="1"/>
      <c r="AI459" s="95" t="str">
        <f aca="false">IF(INDEX($C:$C,459)&amp;INDEX($D:$D,459)="","",1)</f>
        <v/>
      </c>
      <c r="AJ459" s="95" t="str">
        <f aca="false">IF(OR(AI459="",INDEX($Z:$Z,459)="",INDEX($U:$U,459)="Declined"),"",1)</f>
        <v/>
      </c>
      <c r="AK459" s="95" t="str">
        <f aca="false">IF(AJ459="","",INDEX($Z:$Z,459)&amp;"-"&amp;COUNTIFS($Z$7:Z459,INDEX($Z:$Z,459),$AJ$7:AJ459,1))</f>
        <v/>
      </c>
      <c r="AL459" s="43" t="str">
        <f aca="false">IF(AI459="","",TRIM(INDEX($D:$D,459)&amp;" "&amp;INDEX($C:$C,459))&amp;IF(INDEX($I:$I,459)="Yes"," (child)",""))</f>
        <v/>
      </c>
      <c r="AM459" s="95" t="str">
        <f aca="false">IF(OR(AI459="",INDEX($X:$X,459)="",INDEX($U:$U,459)="Declined"),"",COUNTIFS($X$7:X459,"?*",$U$7:U459,"&lt;&gt;Declined",$AI$7:AI459,1))</f>
        <v/>
      </c>
      <c r="AN459" s="95" t="str">
        <f aca="false">IF(AI459="","",IF(INDEX($L:$L,459)="",1,IF(COUNTIF($L$7:L459,INDEX($L:$L,459))=1,1,"")))</f>
        <v/>
      </c>
      <c r="AO459" s="95" t="str">
        <f aca="false">IF(AN459&lt;&gt;1,"",IF(INDEX($L:$L,459)="",IF(INDEX($S:$S,459)="Yes",1,""),IF(COUNTIFS($L$7:$L$506,INDEX($L:$L,459),$S$7:$S$506,"Yes")&gt;0,1,"")))</f>
        <v/>
      </c>
      <c r="AP459" s="95" t="str">
        <f aca="false">IF(AN459&lt;&gt;1,"",IF(INDEX($L:$L,459)&lt;&gt;"",INDEX($L:$L,459),TRIM(INDEX($D:$D,459)&amp;" "&amp;INDEX($C:$C,459))))</f>
        <v/>
      </c>
      <c r="AQ459" s="43" t="str">
        <f aca="false">IF(OR(AI459="",INDEX($I:$I,459)="Yes"),"",1)</f>
        <v/>
      </c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customFormat="false" ht="21.75" hidden="false" customHeight="true" outlineLevel="0" collapsed="false">
      <c r="A460" s="1"/>
      <c r="B460" s="113" t="str">
        <f aca="false">IF(AI460="","",COUNT($AI$7:AI460))</f>
        <v/>
      </c>
      <c r="C460" s="114"/>
      <c r="D460" s="114"/>
      <c r="E460" s="114"/>
      <c r="F460" s="114"/>
      <c r="G460" s="115"/>
      <c r="H460" s="115"/>
      <c r="I460" s="115"/>
      <c r="J460" s="115"/>
      <c r="K460" s="115"/>
      <c r="L460" s="114"/>
      <c r="M460" s="114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4"/>
      <c r="Y460" s="114"/>
      <c r="Z460" s="115"/>
      <c r="AA460" s="114"/>
      <c r="AB460" s="114"/>
      <c r="AC460" s="115"/>
      <c r="AD460" s="116"/>
      <c r="AE460" s="114"/>
      <c r="AF460" s="114"/>
      <c r="AG460" s="114"/>
      <c r="AH460" s="1"/>
      <c r="AI460" s="95" t="str">
        <f aca="false">IF(INDEX($C:$C,460)&amp;INDEX($D:$D,460)="","",1)</f>
        <v/>
      </c>
      <c r="AJ460" s="95" t="str">
        <f aca="false">IF(OR(AI460="",INDEX($Z:$Z,460)="",INDEX($U:$U,460)="Declined"),"",1)</f>
        <v/>
      </c>
      <c r="AK460" s="95" t="str">
        <f aca="false">IF(AJ460="","",INDEX($Z:$Z,460)&amp;"-"&amp;COUNTIFS($Z$7:Z460,INDEX($Z:$Z,460),$AJ$7:AJ460,1))</f>
        <v/>
      </c>
      <c r="AL460" s="43" t="str">
        <f aca="false">IF(AI460="","",TRIM(INDEX($D:$D,460)&amp;" "&amp;INDEX($C:$C,460))&amp;IF(INDEX($I:$I,460)="Yes"," (child)",""))</f>
        <v/>
      </c>
      <c r="AM460" s="95" t="str">
        <f aca="false">IF(OR(AI460="",INDEX($X:$X,460)="",INDEX($U:$U,460)="Declined"),"",COUNTIFS($X$7:X460,"?*",$U$7:U460,"&lt;&gt;Declined",$AI$7:AI460,1))</f>
        <v/>
      </c>
      <c r="AN460" s="95" t="str">
        <f aca="false">IF(AI460="","",IF(INDEX($L:$L,460)="",1,IF(COUNTIF($L$7:L460,INDEX($L:$L,460))=1,1,"")))</f>
        <v/>
      </c>
      <c r="AO460" s="95" t="str">
        <f aca="false">IF(AN460&lt;&gt;1,"",IF(INDEX($L:$L,460)="",IF(INDEX($S:$S,460)="Yes",1,""),IF(COUNTIFS($L$7:$L$506,INDEX($L:$L,460),$S$7:$S$506,"Yes")&gt;0,1,"")))</f>
        <v/>
      </c>
      <c r="AP460" s="95" t="str">
        <f aca="false">IF(AN460&lt;&gt;1,"",IF(INDEX($L:$L,460)&lt;&gt;"",INDEX($L:$L,460),TRIM(INDEX($D:$D,460)&amp;" "&amp;INDEX($C:$C,460))))</f>
        <v/>
      </c>
      <c r="AQ460" s="43" t="str">
        <f aca="false">IF(OR(AI460="",INDEX($I:$I,460)="Yes"),"",1)</f>
        <v/>
      </c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customFormat="false" ht="21.75" hidden="false" customHeight="true" outlineLevel="0" collapsed="false">
      <c r="A461" s="1"/>
      <c r="B461" s="113" t="str">
        <f aca="false">IF(AI461="","",COUNT($AI$7:AI461))</f>
        <v/>
      </c>
      <c r="C461" s="114"/>
      <c r="D461" s="114"/>
      <c r="E461" s="114"/>
      <c r="F461" s="114"/>
      <c r="G461" s="115"/>
      <c r="H461" s="115"/>
      <c r="I461" s="115"/>
      <c r="J461" s="115"/>
      <c r="K461" s="115"/>
      <c r="L461" s="114"/>
      <c r="M461" s="114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4"/>
      <c r="Y461" s="114"/>
      <c r="Z461" s="115"/>
      <c r="AA461" s="114"/>
      <c r="AB461" s="114"/>
      <c r="AC461" s="115"/>
      <c r="AD461" s="116"/>
      <c r="AE461" s="114"/>
      <c r="AF461" s="114"/>
      <c r="AG461" s="114"/>
      <c r="AH461" s="1"/>
      <c r="AI461" s="95" t="str">
        <f aca="false">IF(INDEX($C:$C,461)&amp;INDEX($D:$D,461)="","",1)</f>
        <v/>
      </c>
      <c r="AJ461" s="95" t="str">
        <f aca="false">IF(OR(AI461="",INDEX($Z:$Z,461)="",INDEX($U:$U,461)="Declined"),"",1)</f>
        <v/>
      </c>
      <c r="AK461" s="95" t="str">
        <f aca="false">IF(AJ461="","",INDEX($Z:$Z,461)&amp;"-"&amp;COUNTIFS($Z$7:Z461,INDEX($Z:$Z,461),$AJ$7:AJ461,1))</f>
        <v/>
      </c>
      <c r="AL461" s="43" t="str">
        <f aca="false">IF(AI461="","",TRIM(INDEX($D:$D,461)&amp;" "&amp;INDEX($C:$C,461))&amp;IF(INDEX($I:$I,461)="Yes"," (child)",""))</f>
        <v/>
      </c>
      <c r="AM461" s="95" t="str">
        <f aca="false">IF(OR(AI461="",INDEX($X:$X,461)="",INDEX($U:$U,461)="Declined"),"",COUNTIFS($X$7:X461,"?*",$U$7:U461,"&lt;&gt;Declined",$AI$7:AI461,1))</f>
        <v/>
      </c>
      <c r="AN461" s="95" t="str">
        <f aca="false">IF(AI461="","",IF(INDEX($L:$L,461)="",1,IF(COUNTIF($L$7:L461,INDEX($L:$L,461))=1,1,"")))</f>
        <v/>
      </c>
      <c r="AO461" s="95" t="str">
        <f aca="false">IF(AN461&lt;&gt;1,"",IF(INDEX($L:$L,461)="",IF(INDEX($S:$S,461)="Yes",1,""),IF(COUNTIFS($L$7:$L$506,INDEX($L:$L,461),$S$7:$S$506,"Yes")&gt;0,1,"")))</f>
        <v/>
      </c>
      <c r="AP461" s="95" t="str">
        <f aca="false">IF(AN461&lt;&gt;1,"",IF(INDEX($L:$L,461)&lt;&gt;"",INDEX($L:$L,461),TRIM(INDEX($D:$D,461)&amp;" "&amp;INDEX($C:$C,461))))</f>
        <v/>
      </c>
      <c r="AQ461" s="43" t="str">
        <f aca="false">IF(OR(AI461="",INDEX($I:$I,461)="Yes"),"",1)</f>
        <v/>
      </c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customFormat="false" ht="21.75" hidden="false" customHeight="true" outlineLevel="0" collapsed="false">
      <c r="A462" s="1"/>
      <c r="B462" s="113" t="str">
        <f aca="false">IF(AI462="","",COUNT($AI$7:AI462))</f>
        <v/>
      </c>
      <c r="C462" s="114"/>
      <c r="D462" s="114"/>
      <c r="E462" s="114"/>
      <c r="F462" s="114"/>
      <c r="G462" s="115"/>
      <c r="H462" s="115"/>
      <c r="I462" s="115"/>
      <c r="J462" s="115"/>
      <c r="K462" s="115"/>
      <c r="L462" s="114"/>
      <c r="M462" s="114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4"/>
      <c r="Y462" s="114"/>
      <c r="Z462" s="115"/>
      <c r="AA462" s="114"/>
      <c r="AB462" s="114"/>
      <c r="AC462" s="115"/>
      <c r="AD462" s="116"/>
      <c r="AE462" s="114"/>
      <c r="AF462" s="114"/>
      <c r="AG462" s="114"/>
      <c r="AH462" s="1"/>
      <c r="AI462" s="95" t="str">
        <f aca="false">IF(INDEX($C:$C,462)&amp;INDEX($D:$D,462)="","",1)</f>
        <v/>
      </c>
      <c r="AJ462" s="95" t="str">
        <f aca="false">IF(OR(AI462="",INDEX($Z:$Z,462)="",INDEX($U:$U,462)="Declined"),"",1)</f>
        <v/>
      </c>
      <c r="AK462" s="95" t="str">
        <f aca="false">IF(AJ462="","",INDEX($Z:$Z,462)&amp;"-"&amp;COUNTIFS($Z$7:Z462,INDEX($Z:$Z,462),$AJ$7:AJ462,1))</f>
        <v/>
      </c>
      <c r="AL462" s="43" t="str">
        <f aca="false">IF(AI462="","",TRIM(INDEX($D:$D,462)&amp;" "&amp;INDEX($C:$C,462))&amp;IF(INDEX($I:$I,462)="Yes"," (child)",""))</f>
        <v/>
      </c>
      <c r="AM462" s="95" t="str">
        <f aca="false">IF(OR(AI462="",INDEX($X:$X,462)="",INDEX($U:$U,462)="Declined"),"",COUNTIFS($X$7:X462,"?*",$U$7:U462,"&lt;&gt;Declined",$AI$7:AI462,1))</f>
        <v/>
      </c>
      <c r="AN462" s="95" t="str">
        <f aca="false">IF(AI462="","",IF(INDEX($L:$L,462)="",1,IF(COUNTIF($L$7:L462,INDEX($L:$L,462))=1,1,"")))</f>
        <v/>
      </c>
      <c r="AO462" s="95" t="str">
        <f aca="false">IF(AN462&lt;&gt;1,"",IF(INDEX($L:$L,462)="",IF(INDEX($S:$S,462)="Yes",1,""),IF(COUNTIFS($L$7:$L$506,INDEX($L:$L,462),$S$7:$S$506,"Yes")&gt;0,1,"")))</f>
        <v/>
      </c>
      <c r="AP462" s="95" t="str">
        <f aca="false">IF(AN462&lt;&gt;1,"",IF(INDEX($L:$L,462)&lt;&gt;"",INDEX($L:$L,462),TRIM(INDEX($D:$D,462)&amp;" "&amp;INDEX($C:$C,462))))</f>
        <v/>
      </c>
      <c r="AQ462" s="43" t="str">
        <f aca="false">IF(OR(AI462="",INDEX($I:$I,462)="Yes"),"",1)</f>
        <v/>
      </c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customFormat="false" ht="21.75" hidden="false" customHeight="true" outlineLevel="0" collapsed="false">
      <c r="A463" s="1"/>
      <c r="B463" s="113" t="str">
        <f aca="false">IF(AI463="","",COUNT($AI$7:AI463))</f>
        <v/>
      </c>
      <c r="C463" s="114"/>
      <c r="D463" s="114"/>
      <c r="E463" s="114"/>
      <c r="F463" s="114"/>
      <c r="G463" s="115"/>
      <c r="H463" s="115"/>
      <c r="I463" s="115"/>
      <c r="J463" s="115"/>
      <c r="K463" s="115"/>
      <c r="L463" s="114"/>
      <c r="M463" s="114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4"/>
      <c r="Y463" s="114"/>
      <c r="Z463" s="115"/>
      <c r="AA463" s="114"/>
      <c r="AB463" s="114"/>
      <c r="AC463" s="115"/>
      <c r="AD463" s="116"/>
      <c r="AE463" s="114"/>
      <c r="AF463" s="114"/>
      <c r="AG463" s="114"/>
      <c r="AH463" s="1"/>
      <c r="AI463" s="95" t="str">
        <f aca="false">IF(INDEX($C:$C,463)&amp;INDEX($D:$D,463)="","",1)</f>
        <v/>
      </c>
      <c r="AJ463" s="95" t="str">
        <f aca="false">IF(OR(AI463="",INDEX($Z:$Z,463)="",INDEX($U:$U,463)="Declined"),"",1)</f>
        <v/>
      </c>
      <c r="AK463" s="95" t="str">
        <f aca="false">IF(AJ463="","",INDEX($Z:$Z,463)&amp;"-"&amp;COUNTIFS($Z$7:Z463,INDEX($Z:$Z,463),$AJ$7:AJ463,1))</f>
        <v/>
      </c>
      <c r="AL463" s="43" t="str">
        <f aca="false">IF(AI463="","",TRIM(INDEX($D:$D,463)&amp;" "&amp;INDEX($C:$C,463))&amp;IF(INDEX($I:$I,463)="Yes"," (child)",""))</f>
        <v/>
      </c>
      <c r="AM463" s="95" t="str">
        <f aca="false">IF(OR(AI463="",INDEX($X:$X,463)="",INDEX($U:$U,463)="Declined"),"",COUNTIFS($X$7:X463,"?*",$U$7:U463,"&lt;&gt;Declined",$AI$7:AI463,1))</f>
        <v/>
      </c>
      <c r="AN463" s="95" t="str">
        <f aca="false">IF(AI463="","",IF(INDEX($L:$L,463)="",1,IF(COUNTIF($L$7:L463,INDEX($L:$L,463))=1,1,"")))</f>
        <v/>
      </c>
      <c r="AO463" s="95" t="str">
        <f aca="false">IF(AN463&lt;&gt;1,"",IF(INDEX($L:$L,463)="",IF(INDEX($S:$S,463)="Yes",1,""),IF(COUNTIFS($L$7:$L$506,INDEX($L:$L,463),$S$7:$S$506,"Yes")&gt;0,1,"")))</f>
        <v/>
      </c>
      <c r="AP463" s="95" t="str">
        <f aca="false">IF(AN463&lt;&gt;1,"",IF(INDEX($L:$L,463)&lt;&gt;"",INDEX($L:$L,463),TRIM(INDEX($D:$D,463)&amp;" "&amp;INDEX($C:$C,463))))</f>
        <v/>
      </c>
      <c r="AQ463" s="43" t="str">
        <f aca="false">IF(OR(AI463="",INDEX($I:$I,463)="Yes"),"",1)</f>
        <v/>
      </c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customFormat="false" ht="21.75" hidden="false" customHeight="true" outlineLevel="0" collapsed="false">
      <c r="A464" s="1"/>
      <c r="B464" s="113" t="str">
        <f aca="false">IF(AI464="","",COUNT($AI$7:AI464))</f>
        <v/>
      </c>
      <c r="C464" s="114"/>
      <c r="D464" s="114"/>
      <c r="E464" s="114"/>
      <c r="F464" s="114"/>
      <c r="G464" s="115"/>
      <c r="H464" s="115"/>
      <c r="I464" s="115"/>
      <c r="J464" s="115"/>
      <c r="K464" s="115"/>
      <c r="L464" s="114"/>
      <c r="M464" s="114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4"/>
      <c r="Y464" s="114"/>
      <c r="Z464" s="115"/>
      <c r="AA464" s="114"/>
      <c r="AB464" s="114"/>
      <c r="AC464" s="115"/>
      <c r="AD464" s="116"/>
      <c r="AE464" s="114"/>
      <c r="AF464" s="114"/>
      <c r="AG464" s="114"/>
      <c r="AH464" s="1"/>
      <c r="AI464" s="95" t="str">
        <f aca="false">IF(INDEX($C:$C,464)&amp;INDEX($D:$D,464)="","",1)</f>
        <v/>
      </c>
      <c r="AJ464" s="95" t="str">
        <f aca="false">IF(OR(AI464="",INDEX($Z:$Z,464)="",INDEX($U:$U,464)="Declined"),"",1)</f>
        <v/>
      </c>
      <c r="AK464" s="95" t="str">
        <f aca="false">IF(AJ464="","",INDEX($Z:$Z,464)&amp;"-"&amp;COUNTIFS($Z$7:Z464,INDEX($Z:$Z,464),$AJ$7:AJ464,1))</f>
        <v/>
      </c>
      <c r="AL464" s="43" t="str">
        <f aca="false">IF(AI464="","",TRIM(INDEX($D:$D,464)&amp;" "&amp;INDEX($C:$C,464))&amp;IF(INDEX($I:$I,464)="Yes"," (child)",""))</f>
        <v/>
      </c>
      <c r="AM464" s="95" t="str">
        <f aca="false">IF(OR(AI464="",INDEX($X:$X,464)="",INDEX($U:$U,464)="Declined"),"",COUNTIFS($X$7:X464,"?*",$U$7:U464,"&lt;&gt;Declined",$AI$7:AI464,1))</f>
        <v/>
      </c>
      <c r="AN464" s="95" t="str">
        <f aca="false">IF(AI464="","",IF(INDEX($L:$L,464)="",1,IF(COUNTIF($L$7:L464,INDEX($L:$L,464))=1,1,"")))</f>
        <v/>
      </c>
      <c r="AO464" s="95" t="str">
        <f aca="false">IF(AN464&lt;&gt;1,"",IF(INDEX($L:$L,464)="",IF(INDEX($S:$S,464)="Yes",1,""),IF(COUNTIFS($L$7:$L$506,INDEX($L:$L,464),$S$7:$S$506,"Yes")&gt;0,1,"")))</f>
        <v/>
      </c>
      <c r="AP464" s="95" t="str">
        <f aca="false">IF(AN464&lt;&gt;1,"",IF(INDEX($L:$L,464)&lt;&gt;"",INDEX($L:$L,464),TRIM(INDEX($D:$D,464)&amp;" "&amp;INDEX($C:$C,464))))</f>
        <v/>
      </c>
      <c r="AQ464" s="43" t="str">
        <f aca="false">IF(OR(AI464="",INDEX($I:$I,464)="Yes"),"",1)</f>
        <v/>
      </c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customFormat="false" ht="21.75" hidden="false" customHeight="true" outlineLevel="0" collapsed="false">
      <c r="A465" s="1"/>
      <c r="B465" s="113" t="str">
        <f aca="false">IF(AI465="","",COUNT($AI$7:AI465))</f>
        <v/>
      </c>
      <c r="C465" s="114"/>
      <c r="D465" s="114"/>
      <c r="E465" s="114"/>
      <c r="F465" s="114"/>
      <c r="G465" s="115"/>
      <c r="H465" s="115"/>
      <c r="I465" s="115"/>
      <c r="J465" s="115"/>
      <c r="K465" s="115"/>
      <c r="L465" s="114"/>
      <c r="M465" s="114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4"/>
      <c r="Y465" s="114"/>
      <c r="Z465" s="115"/>
      <c r="AA465" s="114"/>
      <c r="AB465" s="114"/>
      <c r="AC465" s="115"/>
      <c r="AD465" s="116"/>
      <c r="AE465" s="114"/>
      <c r="AF465" s="114"/>
      <c r="AG465" s="114"/>
      <c r="AH465" s="1"/>
      <c r="AI465" s="95" t="str">
        <f aca="false">IF(INDEX($C:$C,465)&amp;INDEX($D:$D,465)="","",1)</f>
        <v/>
      </c>
      <c r="AJ465" s="95" t="str">
        <f aca="false">IF(OR(AI465="",INDEX($Z:$Z,465)="",INDEX($U:$U,465)="Declined"),"",1)</f>
        <v/>
      </c>
      <c r="AK465" s="95" t="str">
        <f aca="false">IF(AJ465="","",INDEX($Z:$Z,465)&amp;"-"&amp;COUNTIFS($Z$7:Z465,INDEX($Z:$Z,465),$AJ$7:AJ465,1))</f>
        <v/>
      </c>
      <c r="AL465" s="43" t="str">
        <f aca="false">IF(AI465="","",TRIM(INDEX($D:$D,465)&amp;" "&amp;INDEX($C:$C,465))&amp;IF(INDEX($I:$I,465)="Yes"," (child)",""))</f>
        <v/>
      </c>
      <c r="AM465" s="95" t="str">
        <f aca="false">IF(OR(AI465="",INDEX($X:$X,465)="",INDEX($U:$U,465)="Declined"),"",COUNTIFS($X$7:X465,"?*",$U$7:U465,"&lt;&gt;Declined",$AI$7:AI465,1))</f>
        <v/>
      </c>
      <c r="AN465" s="95" t="str">
        <f aca="false">IF(AI465="","",IF(INDEX($L:$L,465)="",1,IF(COUNTIF($L$7:L465,INDEX($L:$L,465))=1,1,"")))</f>
        <v/>
      </c>
      <c r="AO465" s="95" t="str">
        <f aca="false">IF(AN465&lt;&gt;1,"",IF(INDEX($L:$L,465)="",IF(INDEX($S:$S,465)="Yes",1,""),IF(COUNTIFS($L$7:$L$506,INDEX($L:$L,465),$S$7:$S$506,"Yes")&gt;0,1,"")))</f>
        <v/>
      </c>
      <c r="AP465" s="95" t="str">
        <f aca="false">IF(AN465&lt;&gt;1,"",IF(INDEX($L:$L,465)&lt;&gt;"",INDEX($L:$L,465),TRIM(INDEX($D:$D,465)&amp;" "&amp;INDEX($C:$C,465))))</f>
        <v/>
      </c>
      <c r="AQ465" s="43" t="str">
        <f aca="false">IF(OR(AI465="",INDEX($I:$I,465)="Yes"),"",1)</f>
        <v/>
      </c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customFormat="false" ht="21.75" hidden="false" customHeight="true" outlineLevel="0" collapsed="false">
      <c r="A466" s="1"/>
      <c r="B466" s="113" t="str">
        <f aca="false">IF(AI466="","",COUNT($AI$7:AI466))</f>
        <v/>
      </c>
      <c r="C466" s="114"/>
      <c r="D466" s="114"/>
      <c r="E466" s="114"/>
      <c r="F466" s="114"/>
      <c r="G466" s="115"/>
      <c r="H466" s="115"/>
      <c r="I466" s="115"/>
      <c r="J466" s="115"/>
      <c r="K466" s="115"/>
      <c r="L466" s="114"/>
      <c r="M466" s="114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4"/>
      <c r="Y466" s="114"/>
      <c r="Z466" s="115"/>
      <c r="AA466" s="114"/>
      <c r="AB466" s="114"/>
      <c r="AC466" s="115"/>
      <c r="AD466" s="116"/>
      <c r="AE466" s="114"/>
      <c r="AF466" s="114"/>
      <c r="AG466" s="114"/>
      <c r="AH466" s="1"/>
      <c r="AI466" s="95" t="str">
        <f aca="false">IF(INDEX($C:$C,466)&amp;INDEX($D:$D,466)="","",1)</f>
        <v/>
      </c>
      <c r="AJ466" s="95" t="str">
        <f aca="false">IF(OR(AI466="",INDEX($Z:$Z,466)="",INDEX($U:$U,466)="Declined"),"",1)</f>
        <v/>
      </c>
      <c r="AK466" s="95" t="str">
        <f aca="false">IF(AJ466="","",INDEX($Z:$Z,466)&amp;"-"&amp;COUNTIFS($Z$7:Z466,INDEX($Z:$Z,466),$AJ$7:AJ466,1))</f>
        <v/>
      </c>
      <c r="AL466" s="43" t="str">
        <f aca="false">IF(AI466="","",TRIM(INDEX($D:$D,466)&amp;" "&amp;INDEX($C:$C,466))&amp;IF(INDEX($I:$I,466)="Yes"," (child)",""))</f>
        <v/>
      </c>
      <c r="AM466" s="95" t="str">
        <f aca="false">IF(OR(AI466="",INDEX($X:$X,466)="",INDEX($U:$U,466)="Declined"),"",COUNTIFS($X$7:X466,"?*",$U$7:U466,"&lt;&gt;Declined",$AI$7:AI466,1))</f>
        <v/>
      </c>
      <c r="AN466" s="95" t="str">
        <f aca="false">IF(AI466="","",IF(INDEX($L:$L,466)="",1,IF(COUNTIF($L$7:L466,INDEX($L:$L,466))=1,1,"")))</f>
        <v/>
      </c>
      <c r="AO466" s="95" t="str">
        <f aca="false">IF(AN466&lt;&gt;1,"",IF(INDEX($L:$L,466)="",IF(INDEX($S:$S,466)="Yes",1,""),IF(COUNTIFS($L$7:$L$506,INDEX($L:$L,466),$S$7:$S$506,"Yes")&gt;0,1,"")))</f>
        <v/>
      </c>
      <c r="AP466" s="95" t="str">
        <f aca="false">IF(AN466&lt;&gt;1,"",IF(INDEX($L:$L,466)&lt;&gt;"",INDEX($L:$L,466),TRIM(INDEX($D:$D,466)&amp;" "&amp;INDEX($C:$C,466))))</f>
        <v/>
      </c>
      <c r="AQ466" s="43" t="str">
        <f aca="false">IF(OR(AI466="",INDEX($I:$I,466)="Yes"),"",1)</f>
        <v/>
      </c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customFormat="false" ht="21.75" hidden="false" customHeight="true" outlineLevel="0" collapsed="false">
      <c r="A467" s="1"/>
      <c r="B467" s="113" t="str">
        <f aca="false">IF(AI467="","",COUNT($AI$7:AI467))</f>
        <v/>
      </c>
      <c r="C467" s="114"/>
      <c r="D467" s="114"/>
      <c r="E467" s="114"/>
      <c r="F467" s="114"/>
      <c r="G467" s="115"/>
      <c r="H467" s="115"/>
      <c r="I467" s="115"/>
      <c r="J467" s="115"/>
      <c r="K467" s="115"/>
      <c r="L467" s="114"/>
      <c r="M467" s="114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4"/>
      <c r="Y467" s="114"/>
      <c r="Z467" s="115"/>
      <c r="AA467" s="114"/>
      <c r="AB467" s="114"/>
      <c r="AC467" s="115"/>
      <c r="AD467" s="116"/>
      <c r="AE467" s="114"/>
      <c r="AF467" s="114"/>
      <c r="AG467" s="114"/>
      <c r="AH467" s="1"/>
      <c r="AI467" s="95" t="str">
        <f aca="false">IF(INDEX($C:$C,467)&amp;INDEX($D:$D,467)="","",1)</f>
        <v/>
      </c>
      <c r="AJ467" s="95" t="str">
        <f aca="false">IF(OR(AI467="",INDEX($Z:$Z,467)="",INDEX($U:$U,467)="Declined"),"",1)</f>
        <v/>
      </c>
      <c r="AK467" s="95" t="str">
        <f aca="false">IF(AJ467="","",INDEX($Z:$Z,467)&amp;"-"&amp;COUNTIFS($Z$7:Z467,INDEX($Z:$Z,467),$AJ$7:AJ467,1))</f>
        <v/>
      </c>
      <c r="AL467" s="43" t="str">
        <f aca="false">IF(AI467="","",TRIM(INDEX($D:$D,467)&amp;" "&amp;INDEX($C:$C,467))&amp;IF(INDEX($I:$I,467)="Yes"," (child)",""))</f>
        <v/>
      </c>
      <c r="AM467" s="95" t="str">
        <f aca="false">IF(OR(AI467="",INDEX($X:$X,467)="",INDEX($U:$U,467)="Declined"),"",COUNTIFS($X$7:X467,"?*",$U$7:U467,"&lt;&gt;Declined",$AI$7:AI467,1))</f>
        <v/>
      </c>
      <c r="AN467" s="95" t="str">
        <f aca="false">IF(AI467="","",IF(INDEX($L:$L,467)="",1,IF(COUNTIF($L$7:L467,INDEX($L:$L,467))=1,1,"")))</f>
        <v/>
      </c>
      <c r="AO467" s="95" t="str">
        <f aca="false">IF(AN467&lt;&gt;1,"",IF(INDEX($L:$L,467)="",IF(INDEX($S:$S,467)="Yes",1,""),IF(COUNTIFS($L$7:$L$506,INDEX($L:$L,467),$S$7:$S$506,"Yes")&gt;0,1,"")))</f>
        <v/>
      </c>
      <c r="AP467" s="95" t="str">
        <f aca="false">IF(AN467&lt;&gt;1,"",IF(INDEX($L:$L,467)&lt;&gt;"",INDEX($L:$L,467),TRIM(INDEX($D:$D,467)&amp;" "&amp;INDEX($C:$C,467))))</f>
        <v/>
      </c>
      <c r="AQ467" s="43" t="str">
        <f aca="false">IF(OR(AI467="",INDEX($I:$I,467)="Yes"),"",1)</f>
        <v/>
      </c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customFormat="false" ht="21.75" hidden="false" customHeight="true" outlineLevel="0" collapsed="false">
      <c r="A468" s="1"/>
      <c r="B468" s="113" t="str">
        <f aca="false">IF(AI468="","",COUNT($AI$7:AI468))</f>
        <v/>
      </c>
      <c r="C468" s="114"/>
      <c r="D468" s="114"/>
      <c r="E468" s="114"/>
      <c r="F468" s="114"/>
      <c r="G468" s="115"/>
      <c r="H468" s="115"/>
      <c r="I468" s="115"/>
      <c r="J468" s="115"/>
      <c r="K468" s="115"/>
      <c r="L468" s="114"/>
      <c r="M468" s="114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4"/>
      <c r="Y468" s="114"/>
      <c r="Z468" s="115"/>
      <c r="AA468" s="114"/>
      <c r="AB468" s="114"/>
      <c r="AC468" s="115"/>
      <c r="AD468" s="116"/>
      <c r="AE468" s="114"/>
      <c r="AF468" s="114"/>
      <c r="AG468" s="114"/>
      <c r="AH468" s="1"/>
      <c r="AI468" s="95" t="str">
        <f aca="false">IF(INDEX($C:$C,468)&amp;INDEX($D:$D,468)="","",1)</f>
        <v/>
      </c>
      <c r="AJ468" s="95" t="str">
        <f aca="false">IF(OR(AI468="",INDEX($Z:$Z,468)="",INDEX($U:$U,468)="Declined"),"",1)</f>
        <v/>
      </c>
      <c r="AK468" s="95" t="str">
        <f aca="false">IF(AJ468="","",INDEX($Z:$Z,468)&amp;"-"&amp;COUNTIFS($Z$7:Z468,INDEX($Z:$Z,468),$AJ$7:AJ468,1))</f>
        <v/>
      </c>
      <c r="AL468" s="43" t="str">
        <f aca="false">IF(AI468="","",TRIM(INDEX($D:$D,468)&amp;" "&amp;INDEX($C:$C,468))&amp;IF(INDEX($I:$I,468)="Yes"," (child)",""))</f>
        <v/>
      </c>
      <c r="AM468" s="95" t="str">
        <f aca="false">IF(OR(AI468="",INDEX($X:$X,468)="",INDEX($U:$U,468)="Declined"),"",COUNTIFS($X$7:X468,"?*",$U$7:U468,"&lt;&gt;Declined",$AI$7:AI468,1))</f>
        <v/>
      </c>
      <c r="AN468" s="95" t="str">
        <f aca="false">IF(AI468="","",IF(INDEX($L:$L,468)="",1,IF(COUNTIF($L$7:L468,INDEX($L:$L,468))=1,1,"")))</f>
        <v/>
      </c>
      <c r="AO468" s="95" t="str">
        <f aca="false">IF(AN468&lt;&gt;1,"",IF(INDEX($L:$L,468)="",IF(INDEX($S:$S,468)="Yes",1,""),IF(COUNTIFS($L$7:$L$506,INDEX($L:$L,468),$S$7:$S$506,"Yes")&gt;0,1,"")))</f>
        <v/>
      </c>
      <c r="AP468" s="95" t="str">
        <f aca="false">IF(AN468&lt;&gt;1,"",IF(INDEX($L:$L,468)&lt;&gt;"",INDEX($L:$L,468),TRIM(INDEX($D:$D,468)&amp;" "&amp;INDEX($C:$C,468))))</f>
        <v/>
      </c>
      <c r="AQ468" s="43" t="str">
        <f aca="false">IF(OR(AI468="",INDEX($I:$I,468)="Yes"),"",1)</f>
        <v/>
      </c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customFormat="false" ht="21.75" hidden="false" customHeight="true" outlineLevel="0" collapsed="false">
      <c r="A469" s="1"/>
      <c r="B469" s="113" t="str">
        <f aca="false">IF(AI469="","",COUNT($AI$7:AI469))</f>
        <v/>
      </c>
      <c r="C469" s="114"/>
      <c r="D469" s="114"/>
      <c r="E469" s="114"/>
      <c r="F469" s="114"/>
      <c r="G469" s="115"/>
      <c r="H469" s="115"/>
      <c r="I469" s="115"/>
      <c r="J469" s="115"/>
      <c r="K469" s="115"/>
      <c r="L469" s="114"/>
      <c r="M469" s="114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4"/>
      <c r="Y469" s="114"/>
      <c r="Z469" s="115"/>
      <c r="AA469" s="114"/>
      <c r="AB469" s="114"/>
      <c r="AC469" s="115"/>
      <c r="AD469" s="116"/>
      <c r="AE469" s="114"/>
      <c r="AF469" s="114"/>
      <c r="AG469" s="114"/>
      <c r="AH469" s="1"/>
      <c r="AI469" s="95" t="str">
        <f aca="false">IF(INDEX($C:$C,469)&amp;INDEX($D:$D,469)="","",1)</f>
        <v/>
      </c>
      <c r="AJ469" s="95" t="str">
        <f aca="false">IF(OR(AI469="",INDEX($Z:$Z,469)="",INDEX($U:$U,469)="Declined"),"",1)</f>
        <v/>
      </c>
      <c r="AK469" s="95" t="str">
        <f aca="false">IF(AJ469="","",INDEX($Z:$Z,469)&amp;"-"&amp;COUNTIFS($Z$7:Z469,INDEX($Z:$Z,469),$AJ$7:AJ469,1))</f>
        <v/>
      </c>
      <c r="AL469" s="43" t="str">
        <f aca="false">IF(AI469="","",TRIM(INDEX($D:$D,469)&amp;" "&amp;INDEX($C:$C,469))&amp;IF(INDEX($I:$I,469)="Yes"," (child)",""))</f>
        <v/>
      </c>
      <c r="AM469" s="95" t="str">
        <f aca="false">IF(OR(AI469="",INDEX($X:$X,469)="",INDEX($U:$U,469)="Declined"),"",COUNTIFS($X$7:X469,"?*",$U$7:U469,"&lt;&gt;Declined",$AI$7:AI469,1))</f>
        <v/>
      </c>
      <c r="AN469" s="95" t="str">
        <f aca="false">IF(AI469="","",IF(INDEX($L:$L,469)="",1,IF(COUNTIF($L$7:L469,INDEX($L:$L,469))=1,1,"")))</f>
        <v/>
      </c>
      <c r="AO469" s="95" t="str">
        <f aca="false">IF(AN469&lt;&gt;1,"",IF(INDEX($L:$L,469)="",IF(INDEX($S:$S,469)="Yes",1,""),IF(COUNTIFS($L$7:$L$506,INDEX($L:$L,469),$S$7:$S$506,"Yes")&gt;0,1,"")))</f>
        <v/>
      </c>
      <c r="AP469" s="95" t="str">
        <f aca="false">IF(AN469&lt;&gt;1,"",IF(INDEX($L:$L,469)&lt;&gt;"",INDEX($L:$L,469),TRIM(INDEX($D:$D,469)&amp;" "&amp;INDEX($C:$C,469))))</f>
        <v/>
      </c>
      <c r="AQ469" s="43" t="str">
        <f aca="false">IF(OR(AI469="",INDEX($I:$I,469)="Yes"),"",1)</f>
        <v/>
      </c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customFormat="false" ht="21.75" hidden="false" customHeight="true" outlineLevel="0" collapsed="false">
      <c r="A470" s="1"/>
      <c r="B470" s="113" t="str">
        <f aca="false">IF(AI470="","",COUNT($AI$7:AI470))</f>
        <v/>
      </c>
      <c r="C470" s="114"/>
      <c r="D470" s="114"/>
      <c r="E470" s="114"/>
      <c r="F470" s="114"/>
      <c r="G470" s="115"/>
      <c r="H470" s="115"/>
      <c r="I470" s="115"/>
      <c r="J470" s="115"/>
      <c r="K470" s="115"/>
      <c r="L470" s="114"/>
      <c r="M470" s="114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4"/>
      <c r="Y470" s="114"/>
      <c r="Z470" s="115"/>
      <c r="AA470" s="114"/>
      <c r="AB470" s="114"/>
      <c r="AC470" s="115"/>
      <c r="AD470" s="116"/>
      <c r="AE470" s="114"/>
      <c r="AF470" s="114"/>
      <c r="AG470" s="114"/>
      <c r="AH470" s="1"/>
      <c r="AI470" s="95" t="str">
        <f aca="false">IF(INDEX($C:$C,470)&amp;INDEX($D:$D,470)="","",1)</f>
        <v/>
      </c>
      <c r="AJ470" s="95" t="str">
        <f aca="false">IF(OR(AI470="",INDEX($Z:$Z,470)="",INDEX($U:$U,470)="Declined"),"",1)</f>
        <v/>
      </c>
      <c r="AK470" s="95" t="str">
        <f aca="false">IF(AJ470="","",INDEX($Z:$Z,470)&amp;"-"&amp;COUNTIFS($Z$7:Z470,INDEX($Z:$Z,470),$AJ$7:AJ470,1))</f>
        <v/>
      </c>
      <c r="AL470" s="43" t="str">
        <f aca="false">IF(AI470="","",TRIM(INDEX($D:$D,470)&amp;" "&amp;INDEX($C:$C,470))&amp;IF(INDEX($I:$I,470)="Yes"," (child)",""))</f>
        <v/>
      </c>
      <c r="AM470" s="95" t="str">
        <f aca="false">IF(OR(AI470="",INDEX($X:$X,470)="",INDEX($U:$U,470)="Declined"),"",COUNTIFS($X$7:X470,"?*",$U$7:U470,"&lt;&gt;Declined",$AI$7:AI470,1))</f>
        <v/>
      </c>
      <c r="AN470" s="95" t="str">
        <f aca="false">IF(AI470="","",IF(INDEX($L:$L,470)="",1,IF(COUNTIF($L$7:L470,INDEX($L:$L,470))=1,1,"")))</f>
        <v/>
      </c>
      <c r="AO470" s="95" t="str">
        <f aca="false">IF(AN470&lt;&gt;1,"",IF(INDEX($L:$L,470)="",IF(INDEX($S:$S,470)="Yes",1,""),IF(COUNTIFS($L$7:$L$506,INDEX($L:$L,470),$S$7:$S$506,"Yes")&gt;0,1,"")))</f>
        <v/>
      </c>
      <c r="AP470" s="95" t="str">
        <f aca="false">IF(AN470&lt;&gt;1,"",IF(INDEX($L:$L,470)&lt;&gt;"",INDEX($L:$L,470),TRIM(INDEX($D:$D,470)&amp;" "&amp;INDEX($C:$C,470))))</f>
        <v/>
      </c>
      <c r="AQ470" s="43" t="str">
        <f aca="false">IF(OR(AI470="",INDEX($I:$I,470)="Yes"),"",1)</f>
        <v/>
      </c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customFormat="false" ht="21.75" hidden="false" customHeight="true" outlineLevel="0" collapsed="false">
      <c r="A471" s="1"/>
      <c r="B471" s="113" t="str">
        <f aca="false">IF(AI471="","",COUNT($AI$7:AI471))</f>
        <v/>
      </c>
      <c r="C471" s="114"/>
      <c r="D471" s="114"/>
      <c r="E471" s="114"/>
      <c r="F471" s="114"/>
      <c r="G471" s="115"/>
      <c r="H471" s="115"/>
      <c r="I471" s="115"/>
      <c r="J471" s="115"/>
      <c r="K471" s="115"/>
      <c r="L471" s="114"/>
      <c r="M471" s="114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4"/>
      <c r="Y471" s="114"/>
      <c r="Z471" s="115"/>
      <c r="AA471" s="114"/>
      <c r="AB471" s="114"/>
      <c r="AC471" s="115"/>
      <c r="AD471" s="116"/>
      <c r="AE471" s="114"/>
      <c r="AF471" s="114"/>
      <c r="AG471" s="114"/>
      <c r="AH471" s="1"/>
      <c r="AI471" s="95" t="str">
        <f aca="false">IF(INDEX($C:$C,471)&amp;INDEX($D:$D,471)="","",1)</f>
        <v/>
      </c>
      <c r="AJ471" s="95" t="str">
        <f aca="false">IF(OR(AI471="",INDEX($Z:$Z,471)="",INDEX($U:$U,471)="Declined"),"",1)</f>
        <v/>
      </c>
      <c r="AK471" s="95" t="str">
        <f aca="false">IF(AJ471="","",INDEX($Z:$Z,471)&amp;"-"&amp;COUNTIFS($Z$7:Z471,INDEX($Z:$Z,471),$AJ$7:AJ471,1))</f>
        <v/>
      </c>
      <c r="AL471" s="43" t="str">
        <f aca="false">IF(AI471="","",TRIM(INDEX($D:$D,471)&amp;" "&amp;INDEX($C:$C,471))&amp;IF(INDEX($I:$I,471)="Yes"," (child)",""))</f>
        <v/>
      </c>
      <c r="AM471" s="95" t="str">
        <f aca="false">IF(OR(AI471="",INDEX($X:$X,471)="",INDEX($U:$U,471)="Declined"),"",COUNTIFS($X$7:X471,"?*",$U$7:U471,"&lt;&gt;Declined",$AI$7:AI471,1))</f>
        <v/>
      </c>
      <c r="AN471" s="95" t="str">
        <f aca="false">IF(AI471="","",IF(INDEX($L:$L,471)="",1,IF(COUNTIF($L$7:L471,INDEX($L:$L,471))=1,1,"")))</f>
        <v/>
      </c>
      <c r="AO471" s="95" t="str">
        <f aca="false">IF(AN471&lt;&gt;1,"",IF(INDEX($L:$L,471)="",IF(INDEX($S:$S,471)="Yes",1,""),IF(COUNTIFS($L$7:$L$506,INDEX($L:$L,471),$S$7:$S$506,"Yes")&gt;0,1,"")))</f>
        <v/>
      </c>
      <c r="AP471" s="95" t="str">
        <f aca="false">IF(AN471&lt;&gt;1,"",IF(INDEX($L:$L,471)&lt;&gt;"",INDEX($L:$L,471),TRIM(INDEX($D:$D,471)&amp;" "&amp;INDEX($C:$C,471))))</f>
        <v/>
      </c>
      <c r="AQ471" s="43" t="str">
        <f aca="false">IF(OR(AI471="",INDEX($I:$I,471)="Yes"),"",1)</f>
        <v/>
      </c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customFormat="false" ht="21.75" hidden="false" customHeight="true" outlineLevel="0" collapsed="false">
      <c r="A472" s="1"/>
      <c r="B472" s="113" t="str">
        <f aca="false">IF(AI472="","",COUNT($AI$7:AI472))</f>
        <v/>
      </c>
      <c r="C472" s="114"/>
      <c r="D472" s="114"/>
      <c r="E472" s="114"/>
      <c r="F472" s="114"/>
      <c r="G472" s="115"/>
      <c r="H472" s="115"/>
      <c r="I472" s="115"/>
      <c r="J472" s="115"/>
      <c r="K472" s="115"/>
      <c r="L472" s="114"/>
      <c r="M472" s="114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4"/>
      <c r="Y472" s="114"/>
      <c r="Z472" s="115"/>
      <c r="AA472" s="114"/>
      <c r="AB472" s="114"/>
      <c r="AC472" s="115"/>
      <c r="AD472" s="116"/>
      <c r="AE472" s="114"/>
      <c r="AF472" s="114"/>
      <c r="AG472" s="114"/>
      <c r="AH472" s="1"/>
      <c r="AI472" s="95" t="str">
        <f aca="false">IF(INDEX($C:$C,472)&amp;INDEX($D:$D,472)="","",1)</f>
        <v/>
      </c>
      <c r="AJ472" s="95" t="str">
        <f aca="false">IF(OR(AI472="",INDEX($Z:$Z,472)="",INDEX($U:$U,472)="Declined"),"",1)</f>
        <v/>
      </c>
      <c r="AK472" s="95" t="str">
        <f aca="false">IF(AJ472="","",INDEX($Z:$Z,472)&amp;"-"&amp;COUNTIFS($Z$7:Z472,INDEX($Z:$Z,472),$AJ$7:AJ472,1))</f>
        <v/>
      </c>
      <c r="AL472" s="43" t="str">
        <f aca="false">IF(AI472="","",TRIM(INDEX($D:$D,472)&amp;" "&amp;INDEX($C:$C,472))&amp;IF(INDEX($I:$I,472)="Yes"," (child)",""))</f>
        <v/>
      </c>
      <c r="AM472" s="95" t="str">
        <f aca="false">IF(OR(AI472="",INDEX($X:$X,472)="",INDEX($U:$U,472)="Declined"),"",COUNTIFS($X$7:X472,"?*",$U$7:U472,"&lt;&gt;Declined",$AI$7:AI472,1))</f>
        <v/>
      </c>
      <c r="AN472" s="95" t="str">
        <f aca="false">IF(AI472="","",IF(INDEX($L:$L,472)="",1,IF(COUNTIF($L$7:L472,INDEX($L:$L,472))=1,1,"")))</f>
        <v/>
      </c>
      <c r="AO472" s="95" t="str">
        <f aca="false">IF(AN472&lt;&gt;1,"",IF(INDEX($L:$L,472)="",IF(INDEX($S:$S,472)="Yes",1,""),IF(COUNTIFS($L$7:$L$506,INDEX($L:$L,472),$S$7:$S$506,"Yes")&gt;0,1,"")))</f>
        <v/>
      </c>
      <c r="AP472" s="95" t="str">
        <f aca="false">IF(AN472&lt;&gt;1,"",IF(INDEX($L:$L,472)&lt;&gt;"",INDEX($L:$L,472),TRIM(INDEX($D:$D,472)&amp;" "&amp;INDEX($C:$C,472))))</f>
        <v/>
      </c>
      <c r="AQ472" s="43" t="str">
        <f aca="false">IF(OR(AI472="",INDEX($I:$I,472)="Yes"),"",1)</f>
        <v/>
      </c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customFormat="false" ht="21.75" hidden="false" customHeight="true" outlineLevel="0" collapsed="false">
      <c r="A473" s="1"/>
      <c r="B473" s="113" t="str">
        <f aca="false">IF(AI473="","",COUNT($AI$7:AI473))</f>
        <v/>
      </c>
      <c r="C473" s="114"/>
      <c r="D473" s="114"/>
      <c r="E473" s="114"/>
      <c r="F473" s="114"/>
      <c r="G473" s="115"/>
      <c r="H473" s="115"/>
      <c r="I473" s="115"/>
      <c r="J473" s="115"/>
      <c r="K473" s="115"/>
      <c r="L473" s="114"/>
      <c r="M473" s="114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4"/>
      <c r="Y473" s="114"/>
      <c r="Z473" s="115"/>
      <c r="AA473" s="114"/>
      <c r="AB473" s="114"/>
      <c r="AC473" s="115"/>
      <c r="AD473" s="116"/>
      <c r="AE473" s="114"/>
      <c r="AF473" s="114"/>
      <c r="AG473" s="114"/>
      <c r="AH473" s="1"/>
      <c r="AI473" s="95" t="str">
        <f aca="false">IF(INDEX($C:$C,473)&amp;INDEX($D:$D,473)="","",1)</f>
        <v/>
      </c>
      <c r="AJ473" s="95" t="str">
        <f aca="false">IF(OR(AI473="",INDEX($Z:$Z,473)="",INDEX($U:$U,473)="Declined"),"",1)</f>
        <v/>
      </c>
      <c r="AK473" s="95" t="str">
        <f aca="false">IF(AJ473="","",INDEX($Z:$Z,473)&amp;"-"&amp;COUNTIFS($Z$7:Z473,INDEX($Z:$Z,473),$AJ$7:AJ473,1))</f>
        <v/>
      </c>
      <c r="AL473" s="43" t="str">
        <f aca="false">IF(AI473="","",TRIM(INDEX($D:$D,473)&amp;" "&amp;INDEX($C:$C,473))&amp;IF(INDEX($I:$I,473)="Yes"," (child)",""))</f>
        <v/>
      </c>
      <c r="AM473" s="95" t="str">
        <f aca="false">IF(OR(AI473="",INDEX($X:$X,473)="",INDEX($U:$U,473)="Declined"),"",COUNTIFS($X$7:X473,"?*",$U$7:U473,"&lt;&gt;Declined",$AI$7:AI473,1))</f>
        <v/>
      </c>
      <c r="AN473" s="95" t="str">
        <f aca="false">IF(AI473="","",IF(INDEX($L:$L,473)="",1,IF(COUNTIF($L$7:L473,INDEX($L:$L,473))=1,1,"")))</f>
        <v/>
      </c>
      <c r="AO473" s="95" t="str">
        <f aca="false">IF(AN473&lt;&gt;1,"",IF(INDEX($L:$L,473)="",IF(INDEX($S:$S,473)="Yes",1,""),IF(COUNTIFS($L$7:$L$506,INDEX($L:$L,473),$S$7:$S$506,"Yes")&gt;0,1,"")))</f>
        <v/>
      </c>
      <c r="AP473" s="95" t="str">
        <f aca="false">IF(AN473&lt;&gt;1,"",IF(INDEX($L:$L,473)&lt;&gt;"",INDEX($L:$L,473),TRIM(INDEX($D:$D,473)&amp;" "&amp;INDEX($C:$C,473))))</f>
        <v/>
      </c>
      <c r="AQ473" s="43" t="str">
        <f aca="false">IF(OR(AI473="",INDEX($I:$I,473)="Yes"),"",1)</f>
        <v/>
      </c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customFormat="false" ht="21.75" hidden="false" customHeight="true" outlineLevel="0" collapsed="false">
      <c r="A474" s="1"/>
      <c r="B474" s="113" t="str">
        <f aca="false">IF(AI474="","",COUNT($AI$7:AI474))</f>
        <v/>
      </c>
      <c r="C474" s="114"/>
      <c r="D474" s="114"/>
      <c r="E474" s="114"/>
      <c r="F474" s="114"/>
      <c r="G474" s="115"/>
      <c r="H474" s="115"/>
      <c r="I474" s="115"/>
      <c r="J474" s="115"/>
      <c r="K474" s="115"/>
      <c r="L474" s="114"/>
      <c r="M474" s="114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4"/>
      <c r="Y474" s="114"/>
      <c r="Z474" s="115"/>
      <c r="AA474" s="114"/>
      <c r="AB474" s="114"/>
      <c r="AC474" s="115"/>
      <c r="AD474" s="116"/>
      <c r="AE474" s="114"/>
      <c r="AF474" s="114"/>
      <c r="AG474" s="114"/>
      <c r="AH474" s="1"/>
      <c r="AI474" s="95" t="str">
        <f aca="false">IF(INDEX($C:$C,474)&amp;INDEX($D:$D,474)="","",1)</f>
        <v/>
      </c>
      <c r="AJ474" s="95" t="str">
        <f aca="false">IF(OR(AI474="",INDEX($Z:$Z,474)="",INDEX($U:$U,474)="Declined"),"",1)</f>
        <v/>
      </c>
      <c r="AK474" s="95" t="str">
        <f aca="false">IF(AJ474="","",INDEX($Z:$Z,474)&amp;"-"&amp;COUNTIFS($Z$7:Z474,INDEX($Z:$Z,474),$AJ$7:AJ474,1))</f>
        <v/>
      </c>
      <c r="AL474" s="43" t="str">
        <f aca="false">IF(AI474="","",TRIM(INDEX($D:$D,474)&amp;" "&amp;INDEX($C:$C,474))&amp;IF(INDEX($I:$I,474)="Yes"," (child)",""))</f>
        <v/>
      </c>
      <c r="AM474" s="95" t="str">
        <f aca="false">IF(OR(AI474="",INDEX($X:$X,474)="",INDEX($U:$U,474)="Declined"),"",COUNTIFS($X$7:X474,"?*",$U$7:U474,"&lt;&gt;Declined",$AI$7:AI474,1))</f>
        <v/>
      </c>
      <c r="AN474" s="95" t="str">
        <f aca="false">IF(AI474="","",IF(INDEX($L:$L,474)="",1,IF(COUNTIF($L$7:L474,INDEX($L:$L,474))=1,1,"")))</f>
        <v/>
      </c>
      <c r="AO474" s="95" t="str">
        <f aca="false">IF(AN474&lt;&gt;1,"",IF(INDEX($L:$L,474)="",IF(INDEX($S:$S,474)="Yes",1,""),IF(COUNTIFS($L$7:$L$506,INDEX($L:$L,474),$S$7:$S$506,"Yes")&gt;0,1,"")))</f>
        <v/>
      </c>
      <c r="AP474" s="95" t="str">
        <f aca="false">IF(AN474&lt;&gt;1,"",IF(INDEX($L:$L,474)&lt;&gt;"",INDEX($L:$L,474),TRIM(INDEX($D:$D,474)&amp;" "&amp;INDEX($C:$C,474))))</f>
        <v/>
      </c>
      <c r="AQ474" s="43" t="str">
        <f aca="false">IF(OR(AI474="",INDEX($I:$I,474)="Yes"),"",1)</f>
        <v/>
      </c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customFormat="false" ht="21.75" hidden="false" customHeight="true" outlineLevel="0" collapsed="false">
      <c r="A475" s="1"/>
      <c r="B475" s="113" t="str">
        <f aca="false">IF(AI475="","",COUNT($AI$7:AI475))</f>
        <v/>
      </c>
      <c r="C475" s="114"/>
      <c r="D475" s="114"/>
      <c r="E475" s="114"/>
      <c r="F475" s="114"/>
      <c r="G475" s="115"/>
      <c r="H475" s="115"/>
      <c r="I475" s="115"/>
      <c r="J475" s="115"/>
      <c r="K475" s="115"/>
      <c r="L475" s="114"/>
      <c r="M475" s="114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4"/>
      <c r="Y475" s="114"/>
      <c r="Z475" s="115"/>
      <c r="AA475" s="114"/>
      <c r="AB475" s="114"/>
      <c r="AC475" s="115"/>
      <c r="AD475" s="116"/>
      <c r="AE475" s="114"/>
      <c r="AF475" s="114"/>
      <c r="AG475" s="114"/>
      <c r="AH475" s="1"/>
      <c r="AI475" s="95" t="str">
        <f aca="false">IF(INDEX($C:$C,475)&amp;INDEX($D:$D,475)="","",1)</f>
        <v/>
      </c>
      <c r="AJ475" s="95" t="str">
        <f aca="false">IF(OR(AI475="",INDEX($Z:$Z,475)="",INDEX($U:$U,475)="Declined"),"",1)</f>
        <v/>
      </c>
      <c r="AK475" s="95" t="str">
        <f aca="false">IF(AJ475="","",INDEX($Z:$Z,475)&amp;"-"&amp;COUNTIFS($Z$7:Z475,INDEX($Z:$Z,475),$AJ$7:AJ475,1))</f>
        <v/>
      </c>
      <c r="AL475" s="43" t="str">
        <f aca="false">IF(AI475="","",TRIM(INDEX($D:$D,475)&amp;" "&amp;INDEX($C:$C,475))&amp;IF(INDEX($I:$I,475)="Yes"," (child)",""))</f>
        <v/>
      </c>
      <c r="AM475" s="95" t="str">
        <f aca="false">IF(OR(AI475="",INDEX($X:$X,475)="",INDEX($U:$U,475)="Declined"),"",COUNTIFS($X$7:X475,"?*",$U$7:U475,"&lt;&gt;Declined",$AI$7:AI475,1))</f>
        <v/>
      </c>
      <c r="AN475" s="95" t="str">
        <f aca="false">IF(AI475="","",IF(INDEX($L:$L,475)="",1,IF(COUNTIF($L$7:L475,INDEX($L:$L,475))=1,1,"")))</f>
        <v/>
      </c>
      <c r="AO475" s="95" t="str">
        <f aca="false">IF(AN475&lt;&gt;1,"",IF(INDEX($L:$L,475)="",IF(INDEX($S:$S,475)="Yes",1,""),IF(COUNTIFS($L$7:$L$506,INDEX($L:$L,475),$S$7:$S$506,"Yes")&gt;0,1,"")))</f>
        <v/>
      </c>
      <c r="AP475" s="95" t="str">
        <f aca="false">IF(AN475&lt;&gt;1,"",IF(INDEX($L:$L,475)&lt;&gt;"",INDEX($L:$L,475),TRIM(INDEX($D:$D,475)&amp;" "&amp;INDEX($C:$C,475))))</f>
        <v/>
      </c>
      <c r="AQ475" s="43" t="str">
        <f aca="false">IF(OR(AI475="",INDEX($I:$I,475)="Yes"),"",1)</f>
        <v/>
      </c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customFormat="false" ht="21.75" hidden="false" customHeight="true" outlineLevel="0" collapsed="false">
      <c r="A476" s="1"/>
      <c r="B476" s="113" t="str">
        <f aca="false">IF(AI476="","",COUNT($AI$7:AI476))</f>
        <v/>
      </c>
      <c r="C476" s="114"/>
      <c r="D476" s="114"/>
      <c r="E476" s="114"/>
      <c r="F476" s="114"/>
      <c r="G476" s="115"/>
      <c r="H476" s="115"/>
      <c r="I476" s="115"/>
      <c r="J476" s="115"/>
      <c r="K476" s="115"/>
      <c r="L476" s="114"/>
      <c r="M476" s="114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4"/>
      <c r="Y476" s="114"/>
      <c r="Z476" s="115"/>
      <c r="AA476" s="114"/>
      <c r="AB476" s="114"/>
      <c r="AC476" s="115"/>
      <c r="AD476" s="116"/>
      <c r="AE476" s="114"/>
      <c r="AF476" s="114"/>
      <c r="AG476" s="114"/>
      <c r="AH476" s="1"/>
      <c r="AI476" s="95" t="str">
        <f aca="false">IF(INDEX($C:$C,476)&amp;INDEX($D:$D,476)="","",1)</f>
        <v/>
      </c>
      <c r="AJ476" s="95" t="str">
        <f aca="false">IF(OR(AI476="",INDEX($Z:$Z,476)="",INDEX($U:$U,476)="Declined"),"",1)</f>
        <v/>
      </c>
      <c r="AK476" s="95" t="str">
        <f aca="false">IF(AJ476="","",INDEX($Z:$Z,476)&amp;"-"&amp;COUNTIFS($Z$7:Z476,INDEX($Z:$Z,476),$AJ$7:AJ476,1))</f>
        <v/>
      </c>
      <c r="AL476" s="43" t="str">
        <f aca="false">IF(AI476="","",TRIM(INDEX($D:$D,476)&amp;" "&amp;INDEX($C:$C,476))&amp;IF(INDEX($I:$I,476)="Yes"," (child)",""))</f>
        <v/>
      </c>
      <c r="AM476" s="95" t="str">
        <f aca="false">IF(OR(AI476="",INDEX($X:$X,476)="",INDEX($U:$U,476)="Declined"),"",COUNTIFS($X$7:X476,"?*",$U$7:U476,"&lt;&gt;Declined",$AI$7:AI476,1))</f>
        <v/>
      </c>
      <c r="AN476" s="95" t="str">
        <f aca="false">IF(AI476="","",IF(INDEX($L:$L,476)="",1,IF(COUNTIF($L$7:L476,INDEX($L:$L,476))=1,1,"")))</f>
        <v/>
      </c>
      <c r="AO476" s="95" t="str">
        <f aca="false">IF(AN476&lt;&gt;1,"",IF(INDEX($L:$L,476)="",IF(INDEX($S:$S,476)="Yes",1,""),IF(COUNTIFS($L$7:$L$506,INDEX($L:$L,476),$S$7:$S$506,"Yes")&gt;0,1,"")))</f>
        <v/>
      </c>
      <c r="AP476" s="95" t="str">
        <f aca="false">IF(AN476&lt;&gt;1,"",IF(INDEX($L:$L,476)&lt;&gt;"",INDEX($L:$L,476),TRIM(INDEX($D:$D,476)&amp;" "&amp;INDEX($C:$C,476))))</f>
        <v/>
      </c>
      <c r="AQ476" s="43" t="str">
        <f aca="false">IF(OR(AI476="",INDEX($I:$I,476)="Yes"),"",1)</f>
        <v/>
      </c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customFormat="false" ht="21.75" hidden="false" customHeight="true" outlineLevel="0" collapsed="false">
      <c r="A477" s="1"/>
      <c r="B477" s="113" t="str">
        <f aca="false">IF(AI477="","",COUNT($AI$7:AI477))</f>
        <v/>
      </c>
      <c r="C477" s="114"/>
      <c r="D477" s="114"/>
      <c r="E477" s="114"/>
      <c r="F477" s="114"/>
      <c r="G477" s="115"/>
      <c r="H477" s="115"/>
      <c r="I477" s="115"/>
      <c r="J477" s="115"/>
      <c r="K477" s="115"/>
      <c r="L477" s="114"/>
      <c r="M477" s="114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4"/>
      <c r="Y477" s="114"/>
      <c r="Z477" s="115"/>
      <c r="AA477" s="114"/>
      <c r="AB477" s="114"/>
      <c r="AC477" s="115"/>
      <c r="AD477" s="116"/>
      <c r="AE477" s="114"/>
      <c r="AF477" s="114"/>
      <c r="AG477" s="114"/>
      <c r="AH477" s="1"/>
      <c r="AI477" s="95" t="str">
        <f aca="false">IF(INDEX($C:$C,477)&amp;INDEX($D:$D,477)="","",1)</f>
        <v/>
      </c>
      <c r="AJ477" s="95" t="str">
        <f aca="false">IF(OR(AI477="",INDEX($Z:$Z,477)="",INDEX($U:$U,477)="Declined"),"",1)</f>
        <v/>
      </c>
      <c r="AK477" s="95" t="str">
        <f aca="false">IF(AJ477="","",INDEX($Z:$Z,477)&amp;"-"&amp;COUNTIFS($Z$7:Z477,INDEX($Z:$Z,477),$AJ$7:AJ477,1))</f>
        <v/>
      </c>
      <c r="AL477" s="43" t="str">
        <f aca="false">IF(AI477="","",TRIM(INDEX($D:$D,477)&amp;" "&amp;INDEX($C:$C,477))&amp;IF(INDEX($I:$I,477)="Yes"," (child)",""))</f>
        <v/>
      </c>
      <c r="AM477" s="95" t="str">
        <f aca="false">IF(OR(AI477="",INDEX($X:$X,477)="",INDEX($U:$U,477)="Declined"),"",COUNTIFS($X$7:X477,"?*",$U$7:U477,"&lt;&gt;Declined",$AI$7:AI477,1))</f>
        <v/>
      </c>
      <c r="AN477" s="95" t="str">
        <f aca="false">IF(AI477="","",IF(INDEX($L:$L,477)="",1,IF(COUNTIF($L$7:L477,INDEX($L:$L,477))=1,1,"")))</f>
        <v/>
      </c>
      <c r="AO477" s="95" t="str">
        <f aca="false">IF(AN477&lt;&gt;1,"",IF(INDEX($L:$L,477)="",IF(INDEX($S:$S,477)="Yes",1,""),IF(COUNTIFS($L$7:$L$506,INDEX($L:$L,477),$S$7:$S$506,"Yes")&gt;0,1,"")))</f>
        <v/>
      </c>
      <c r="AP477" s="95" t="str">
        <f aca="false">IF(AN477&lt;&gt;1,"",IF(INDEX($L:$L,477)&lt;&gt;"",INDEX($L:$L,477),TRIM(INDEX($D:$D,477)&amp;" "&amp;INDEX($C:$C,477))))</f>
        <v/>
      </c>
      <c r="AQ477" s="43" t="str">
        <f aca="false">IF(OR(AI477="",INDEX($I:$I,477)="Yes"),"",1)</f>
        <v/>
      </c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customFormat="false" ht="21.75" hidden="false" customHeight="true" outlineLevel="0" collapsed="false">
      <c r="A478" s="1"/>
      <c r="B478" s="113" t="str">
        <f aca="false">IF(AI478="","",COUNT($AI$7:AI478))</f>
        <v/>
      </c>
      <c r="C478" s="114"/>
      <c r="D478" s="114"/>
      <c r="E478" s="114"/>
      <c r="F478" s="114"/>
      <c r="G478" s="115"/>
      <c r="H478" s="115"/>
      <c r="I478" s="115"/>
      <c r="J478" s="115"/>
      <c r="K478" s="115"/>
      <c r="L478" s="114"/>
      <c r="M478" s="114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4"/>
      <c r="Y478" s="114"/>
      <c r="Z478" s="115"/>
      <c r="AA478" s="114"/>
      <c r="AB478" s="114"/>
      <c r="AC478" s="115"/>
      <c r="AD478" s="116"/>
      <c r="AE478" s="114"/>
      <c r="AF478" s="114"/>
      <c r="AG478" s="114"/>
      <c r="AH478" s="1"/>
      <c r="AI478" s="95" t="str">
        <f aca="false">IF(INDEX($C:$C,478)&amp;INDEX($D:$D,478)="","",1)</f>
        <v/>
      </c>
      <c r="AJ478" s="95" t="str">
        <f aca="false">IF(OR(AI478="",INDEX($Z:$Z,478)="",INDEX($U:$U,478)="Declined"),"",1)</f>
        <v/>
      </c>
      <c r="AK478" s="95" t="str">
        <f aca="false">IF(AJ478="","",INDEX($Z:$Z,478)&amp;"-"&amp;COUNTIFS($Z$7:Z478,INDEX($Z:$Z,478),$AJ$7:AJ478,1))</f>
        <v/>
      </c>
      <c r="AL478" s="43" t="str">
        <f aca="false">IF(AI478="","",TRIM(INDEX($D:$D,478)&amp;" "&amp;INDEX($C:$C,478))&amp;IF(INDEX($I:$I,478)="Yes"," (child)",""))</f>
        <v/>
      </c>
      <c r="AM478" s="95" t="str">
        <f aca="false">IF(OR(AI478="",INDEX($X:$X,478)="",INDEX($U:$U,478)="Declined"),"",COUNTIFS($X$7:X478,"?*",$U$7:U478,"&lt;&gt;Declined",$AI$7:AI478,1))</f>
        <v/>
      </c>
      <c r="AN478" s="95" t="str">
        <f aca="false">IF(AI478="","",IF(INDEX($L:$L,478)="",1,IF(COUNTIF($L$7:L478,INDEX($L:$L,478))=1,1,"")))</f>
        <v/>
      </c>
      <c r="AO478" s="95" t="str">
        <f aca="false">IF(AN478&lt;&gt;1,"",IF(INDEX($L:$L,478)="",IF(INDEX($S:$S,478)="Yes",1,""),IF(COUNTIFS($L$7:$L$506,INDEX($L:$L,478),$S$7:$S$506,"Yes")&gt;0,1,"")))</f>
        <v/>
      </c>
      <c r="AP478" s="95" t="str">
        <f aca="false">IF(AN478&lt;&gt;1,"",IF(INDEX($L:$L,478)&lt;&gt;"",INDEX($L:$L,478),TRIM(INDEX($D:$D,478)&amp;" "&amp;INDEX($C:$C,478))))</f>
        <v/>
      </c>
      <c r="AQ478" s="43" t="str">
        <f aca="false">IF(OR(AI478="",INDEX($I:$I,478)="Yes"),"",1)</f>
        <v/>
      </c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customFormat="false" ht="21.75" hidden="false" customHeight="true" outlineLevel="0" collapsed="false">
      <c r="A479" s="1"/>
      <c r="B479" s="113" t="str">
        <f aca="false">IF(AI479="","",COUNT($AI$7:AI479))</f>
        <v/>
      </c>
      <c r="C479" s="114"/>
      <c r="D479" s="114"/>
      <c r="E479" s="114"/>
      <c r="F479" s="114"/>
      <c r="G479" s="115"/>
      <c r="H479" s="115"/>
      <c r="I479" s="115"/>
      <c r="J479" s="115"/>
      <c r="K479" s="115"/>
      <c r="L479" s="114"/>
      <c r="M479" s="114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4"/>
      <c r="Y479" s="114"/>
      <c r="Z479" s="115"/>
      <c r="AA479" s="114"/>
      <c r="AB479" s="114"/>
      <c r="AC479" s="115"/>
      <c r="AD479" s="116"/>
      <c r="AE479" s="114"/>
      <c r="AF479" s="114"/>
      <c r="AG479" s="114"/>
      <c r="AH479" s="1"/>
      <c r="AI479" s="95" t="str">
        <f aca="false">IF(INDEX($C:$C,479)&amp;INDEX($D:$D,479)="","",1)</f>
        <v/>
      </c>
      <c r="AJ479" s="95" t="str">
        <f aca="false">IF(OR(AI479="",INDEX($Z:$Z,479)="",INDEX($U:$U,479)="Declined"),"",1)</f>
        <v/>
      </c>
      <c r="AK479" s="95" t="str">
        <f aca="false">IF(AJ479="","",INDEX($Z:$Z,479)&amp;"-"&amp;COUNTIFS($Z$7:Z479,INDEX($Z:$Z,479),$AJ$7:AJ479,1))</f>
        <v/>
      </c>
      <c r="AL479" s="43" t="str">
        <f aca="false">IF(AI479="","",TRIM(INDEX($D:$D,479)&amp;" "&amp;INDEX($C:$C,479))&amp;IF(INDEX($I:$I,479)="Yes"," (child)",""))</f>
        <v/>
      </c>
      <c r="AM479" s="95" t="str">
        <f aca="false">IF(OR(AI479="",INDEX($X:$X,479)="",INDEX($U:$U,479)="Declined"),"",COUNTIFS($X$7:X479,"?*",$U$7:U479,"&lt;&gt;Declined",$AI$7:AI479,1))</f>
        <v/>
      </c>
      <c r="AN479" s="95" t="str">
        <f aca="false">IF(AI479="","",IF(INDEX($L:$L,479)="",1,IF(COUNTIF($L$7:L479,INDEX($L:$L,479))=1,1,"")))</f>
        <v/>
      </c>
      <c r="AO479" s="95" t="str">
        <f aca="false">IF(AN479&lt;&gt;1,"",IF(INDEX($L:$L,479)="",IF(INDEX($S:$S,479)="Yes",1,""),IF(COUNTIFS($L$7:$L$506,INDEX($L:$L,479),$S$7:$S$506,"Yes")&gt;0,1,"")))</f>
        <v/>
      </c>
      <c r="AP479" s="95" t="str">
        <f aca="false">IF(AN479&lt;&gt;1,"",IF(INDEX($L:$L,479)&lt;&gt;"",INDEX($L:$L,479),TRIM(INDEX($D:$D,479)&amp;" "&amp;INDEX($C:$C,479))))</f>
        <v/>
      </c>
      <c r="AQ479" s="43" t="str">
        <f aca="false">IF(OR(AI479="",INDEX($I:$I,479)="Yes"),"",1)</f>
        <v/>
      </c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customFormat="false" ht="21.75" hidden="false" customHeight="true" outlineLevel="0" collapsed="false">
      <c r="A480" s="1"/>
      <c r="B480" s="113" t="str">
        <f aca="false">IF(AI480="","",COUNT($AI$7:AI480))</f>
        <v/>
      </c>
      <c r="C480" s="114"/>
      <c r="D480" s="114"/>
      <c r="E480" s="114"/>
      <c r="F480" s="114"/>
      <c r="G480" s="115"/>
      <c r="H480" s="115"/>
      <c r="I480" s="115"/>
      <c r="J480" s="115"/>
      <c r="K480" s="115"/>
      <c r="L480" s="114"/>
      <c r="M480" s="114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4"/>
      <c r="Y480" s="114"/>
      <c r="Z480" s="115"/>
      <c r="AA480" s="114"/>
      <c r="AB480" s="114"/>
      <c r="AC480" s="115"/>
      <c r="AD480" s="116"/>
      <c r="AE480" s="114"/>
      <c r="AF480" s="114"/>
      <c r="AG480" s="114"/>
      <c r="AH480" s="1"/>
      <c r="AI480" s="95" t="str">
        <f aca="false">IF(INDEX($C:$C,480)&amp;INDEX($D:$D,480)="","",1)</f>
        <v/>
      </c>
      <c r="AJ480" s="95" t="str">
        <f aca="false">IF(OR(AI480="",INDEX($Z:$Z,480)="",INDEX($U:$U,480)="Declined"),"",1)</f>
        <v/>
      </c>
      <c r="AK480" s="95" t="str">
        <f aca="false">IF(AJ480="","",INDEX($Z:$Z,480)&amp;"-"&amp;COUNTIFS($Z$7:Z480,INDEX($Z:$Z,480),$AJ$7:AJ480,1))</f>
        <v/>
      </c>
      <c r="AL480" s="43" t="str">
        <f aca="false">IF(AI480="","",TRIM(INDEX($D:$D,480)&amp;" "&amp;INDEX($C:$C,480))&amp;IF(INDEX($I:$I,480)="Yes"," (child)",""))</f>
        <v/>
      </c>
      <c r="AM480" s="95" t="str">
        <f aca="false">IF(OR(AI480="",INDEX($X:$X,480)="",INDEX($U:$U,480)="Declined"),"",COUNTIFS($X$7:X480,"?*",$U$7:U480,"&lt;&gt;Declined",$AI$7:AI480,1))</f>
        <v/>
      </c>
      <c r="AN480" s="95" t="str">
        <f aca="false">IF(AI480="","",IF(INDEX($L:$L,480)="",1,IF(COUNTIF($L$7:L480,INDEX($L:$L,480))=1,1,"")))</f>
        <v/>
      </c>
      <c r="AO480" s="95" t="str">
        <f aca="false">IF(AN480&lt;&gt;1,"",IF(INDEX($L:$L,480)="",IF(INDEX($S:$S,480)="Yes",1,""),IF(COUNTIFS($L$7:$L$506,INDEX($L:$L,480),$S$7:$S$506,"Yes")&gt;0,1,"")))</f>
        <v/>
      </c>
      <c r="AP480" s="95" t="str">
        <f aca="false">IF(AN480&lt;&gt;1,"",IF(INDEX($L:$L,480)&lt;&gt;"",INDEX($L:$L,480),TRIM(INDEX($D:$D,480)&amp;" "&amp;INDEX($C:$C,480))))</f>
        <v/>
      </c>
      <c r="AQ480" s="43" t="str">
        <f aca="false">IF(OR(AI480="",INDEX($I:$I,480)="Yes"),"",1)</f>
        <v/>
      </c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customFormat="false" ht="21.75" hidden="false" customHeight="true" outlineLevel="0" collapsed="false">
      <c r="A481" s="1"/>
      <c r="B481" s="113" t="str">
        <f aca="false">IF(AI481="","",COUNT($AI$7:AI481))</f>
        <v/>
      </c>
      <c r="C481" s="114"/>
      <c r="D481" s="114"/>
      <c r="E481" s="114"/>
      <c r="F481" s="114"/>
      <c r="G481" s="115"/>
      <c r="H481" s="115"/>
      <c r="I481" s="115"/>
      <c r="J481" s="115"/>
      <c r="K481" s="115"/>
      <c r="L481" s="114"/>
      <c r="M481" s="114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4"/>
      <c r="Y481" s="114"/>
      <c r="Z481" s="115"/>
      <c r="AA481" s="114"/>
      <c r="AB481" s="114"/>
      <c r="AC481" s="115"/>
      <c r="AD481" s="116"/>
      <c r="AE481" s="114"/>
      <c r="AF481" s="114"/>
      <c r="AG481" s="114"/>
      <c r="AH481" s="1"/>
      <c r="AI481" s="95" t="str">
        <f aca="false">IF(INDEX($C:$C,481)&amp;INDEX($D:$D,481)="","",1)</f>
        <v/>
      </c>
      <c r="AJ481" s="95" t="str">
        <f aca="false">IF(OR(AI481="",INDEX($Z:$Z,481)="",INDEX($U:$U,481)="Declined"),"",1)</f>
        <v/>
      </c>
      <c r="AK481" s="95" t="str">
        <f aca="false">IF(AJ481="","",INDEX($Z:$Z,481)&amp;"-"&amp;COUNTIFS($Z$7:Z481,INDEX($Z:$Z,481),$AJ$7:AJ481,1))</f>
        <v/>
      </c>
      <c r="AL481" s="43" t="str">
        <f aca="false">IF(AI481="","",TRIM(INDEX($D:$D,481)&amp;" "&amp;INDEX($C:$C,481))&amp;IF(INDEX($I:$I,481)="Yes"," (child)",""))</f>
        <v/>
      </c>
      <c r="AM481" s="95" t="str">
        <f aca="false">IF(OR(AI481="",INDEX($X:$X,481)="",INDEX($U:$U,481)="Declined"),"",COUNTIFS($X$7:X481,"?*",$U$7:U481,"&lt;&gt;Declined",$AI$7:AI481,1))</f>
        <v/>
      </c>
      <c r="AN481" s="95" t="str">
        <f aca="false">IF(AI481="","",IF(INDEX($L:$L,481)="",1,IF(COUNTIF($L$7:L481,INDEX($L:$L,481))=1,1,"")))</f>
        <v/>
      </c>
      <c r="AO481" s="95" t="str">
        <f aca="false">IF(AN481&lt;&gt;1,"",IF(INDEX($L:$L,481)="",IF(INDEX($S:$S,481)="Yes",1,""),IF(COUNTIFS($L$7:$L$506,INDEX($L:$L,481),$S$7:$S$506,"Yes")&gt;0,1,"")))</f>
        <v/>
      </c>
      <c r="AP481" s="95" t="str">
        <f aca="false">IF(AN481&lt;&gt;1,"",IF(INDEX($L:$L,481)&lt;&gt;"",INDEX($L:$L,481),TRIM(INDEX($D:$D,481)&amp;" "&amp;INDEX($C:$C,481))))</f>
        <v/>
      </c>
      <c r="AQ481" s="43" t="str">
        <f aca="false">IF(OR(AI481="",INDEX($I:$I,481)="Yes"),"",1)</f>
        <v/>
      </c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customFormat="false" ht="21.75" hidden="false" customHeight="true" outlineLevel="0" collapsed="false">
      <c r="A482" s="1"/>
      <c r="B482" s="113" t="str">
        <f aca="false">IF(AI482="","",COUNT($AI$7:AI482))</f>
        <v/>
      </c>
      <c r="C482" s="114"/>
      <c r="D482" s="114"/>
      <c r="E482" s="114"/>
      <c r="F482" s="114"/>
      <c r="G482" s="115"/>
      <c r="H482" s="115"/>
      <c r="I482" s="115"/>
      <c r="J482" s="115"/>
      <c r="K482" s="115"/>
      <c r="L482" s="114"/>
      <c r="M482" s="114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4"/>
      <c r="Y482" s="114"/>
      <c r="Z482" s="115"/>
      <c r="AA482" s="114"/>
      <c r="AB482" s="114"/>
      <c r="AC482" s="115"/>
      <c r="AD482" s="116"/>
      <c r="AE482" s="114"/>
      <c r="AF482" s="114"/>
      <c r="AG482" s="114"/>
      <c r="AH482" s="1"/>
      <c r="AI482" s="95" t="str">
        <f aca="false">IF(INDEX($C:$C,482)&amp;INDEX($D:$D,482)="","",1)</f>
        <v/>
      </c>
      <c r="AJ482" s="95" t="str">
        <f aca="false">IF(OR(AI482="",INDEX($Z:$Z,482)="",INDEX($U:$U,482)="Declined"),"",1)</f>
        <v/>
      </c>
      <c r="AK482" s="95" t="str">
        <f aca="false">IF(AJ482="","",INDEX($Z:$Z,482)&amp;"-"&amp;COUNTIFS($Z$7:Z482,INDEX($Z:$Z,482),$AJ$7:AJ482,1))</f>
        <v/>
      </c>
      <c r="AL482" s="43" t="str">
        <f aca="false">IF(AI482="","",TRIM(INDEX($D:$D,482)&amp;" "&amp;INDEX($C:$C,482))&amp;IF(INDEX($I:$I,482)="Yes"," (child)",""))</f>
        <v/>
      </c>
      <c r="AM482" s="95" t="str">
        <f aca="false">IF(OR(AI482="",INDEX($X:$X,482)="",INDEX($U:$U,482)="Declined"),"",COUNTIFS($X$7:X482,"?*",$U$7:U482,"&lt;&gt;Declined",$AI$7:AI482,1))</f>
        <v/>
      </c>
      <c r="AN482" s="95" t="str">
        <f aca="false">IF(AI482="","",IF(INDEX($L:$L,482)="",1,IF(COUNTIF($L$7:L482,INDEX($L:$L,482))=1,1,"")))</f>
        <v/>
      </c>
      <c r="AO482" s="95" t="str">
        <f aca="false">IF(AN482&lt;&gt;1,"",IF(INDEX($L:$L,482)="",IF(INDEX($S:$S,482)="Yes",1,""),IF(COUNTIFS($L$7:$L$506,INDEX($L:$L,482),$S$7:$S$506,"Yes")&gt;0,1,"")))</f>
        <v/>
      </c>
      <c r="AP482" s="95" t="str">
        <f aca="false">IF(AN482&lt;&gt;1,"",IF(INDEX($L:$L,482)&lt;&gt;"",INDEX($L:$L,482),TRIM(INDEX($D:$D,482)&amp;" "&amp;INDEX($C:$C,482))))</f>
        <v/>
      </c>
      <c r="AQ482" s="43" t="str">
        <f aca="false">IF(OR(AI482="",INDEX($I:$I,482)="Yes"),"",1)</f>
        <v/>
      </c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customFormat="false" ht="21.75" hidden="false" customHeight="true" outlineLevel="0" collapsed="false">
      <c r="A483" s="1"/>
      <c r="B483" s="113" t="str">
        <f aca="false">IF(AI483="","",COUNT($AI$7:AI483))</f>
        <v/>
      </c>
      <c r="C483" s="114"/>
      <c r="D483" s="114"/>
      <c r="E483" s="114"/>
      <c r="F483" s="114"/>
      <c r="G483" s="115"/>
      <c r="H483" s="115"/>
      <c r="I483" s="115"/>
      <c r="J483" s="115"/>
      <c r="K483" s="115"/>
      <c r="L483" s="114"/>
      <c r="M483" s="114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4"/>
      <c r="Y483" s="114"/>
      <c r="Z483" s="115"/>
      <c r="AA483" s="114"/>
      <c r="AB483" s="114"/>
      <c r="AC483" s="115"/>
      <c r="AD483" s="116"/>
      <c r="AE483" s="114"/>
      <c r="AF483" s="114"/>
      <c r="AG483" s="114"/>
      <c r="AH483" s="1"/>
      <c r="AI483" s="95" t="str">
        <f aca="false">IF(INDEX($C:$C,483)&amp;INDEX($D:$D,483)="","",1)</f>
        <v/>
      </c>
      <c r="AJ483" s="95" t="str">
        <f aca="false">IF(OR(AI483="",INDEX($Z:$Z,483)="",INDEX($U:$U,483)="Declined"),"",1)</f>
        <v/>
      </c>
      <c r="AK483" s="95" t="str">
        <f aca="false">IF(AJ483="","",INDEX($Z:$Z,483)&amp;"-"&amp;COUNTIFS($Z$7:Z483,INDEX($Z:$Z,483),$AJ$7:AJ483,1))</f>
        <v/>
      </c>
      <c r="AL483" s="43" t="str">
        <f aca="false">IF(AI483="","",TRIM(INDEX($D:$D,483)&amp;" "&amp;INDEX($C:$C,483))&amp;IF(INDEX($I:$I,483)="Yes"," (child)",""))</f>
        <v/>
      </c>
      <c r="AM483" s="95" t="str">
        <f aca="false">IF(OR(AI483="",INDEX($X:$X,483)="",INDEX($U:$U,483)="Declined"),"",COUNTIFS($X$7:X483,"?*",$U$7:U483,"&lt;&gt;Declined",$AI$7:AI483,1))</f>
        <v/>
      </c>
      <c r="AN483" s="95" t="str">
        <f aca="false">IF(AI483="","",IF(INDEX($L:$L,483)="",1,IF(COUNTIF($L$7:L483,INDEX($L:$L,483))=1,1,"")))</f>
        <v/>
      </c>
      <c r="AO483" s="95" t="str">
        <f aca="false">IF(AN483&lt;&gt;1,"",IF(INDEX($L:$L,483)="",IF(INDEX($S:$S,483)="Yes",1,""),IF(COUNTIFS($L$7:$L$506,INDEX($L:$L,483),$S$7:$S$506,"Yes")&gt;0,1,"")))</f>
        <v/>
      </c>
      <c r="AP483" s="95" t="str">
        <f aca="false">IF(AN483&lt;&gt;1,"",IF(INDEX($L:$L,483)&lt;&gt;"",INDEX($L:$L,483),TRIM(INDEX($D:$D,483)&amp;" "&amp;INDEX($C:$C,483))))</f>
        <v/>
      </c>
      <c r="AQ483" s="43" t="str">
        <f aca="false">IF(OR(AI483="",INDEX($I:$I,483)="Yes"),"",1)</f>
        <v/>
      </c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customFormat="false" ht="21.75" hidden="false" customHeight="true" outlineLevel="0" collapsed="false">
      <c r="A484" s="1"/>
      <c r="B484" s="113" t="str">
        <f aca="false">IF(AI484="","",COUNT($AI$7:AI484))</f>
        <v/>
      </c>
      <c r="C484" s="114"/>
      <c r="D484" s="114"/>
      <c r="E484" s="114"/>
      <c r="F484" s="114"/>
      <c r="G484" s="115"/>
      <c r="H484" s="115"/>
      <c r="I484" s="115"/>
      <c r="J484" s="115"/>
      <c r="K484" s="115"/>
      <c r="L484" s="114"/>
      <c r="M484" s="114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4"/>
      <c r="Y484" s="114"/>
      <c r="Z484" s="115"/>
      <c r="AA484" s="114"/>
      <c r="AB484" s="114"/>
      <c r="AC484" s="115"/>
      <c r="AD484" s="116"/>
      <c r="AE484" s="114"/>
      <c r="AF484" s="114"/>
      <c r="AG484" s="114"/>
      <c r="AH484" s="1"/>
      <c r="AI484" s="95" t="str">
        <f aca="false">IF(INDEX($C:$C,484)&amp;INDEX($D:$D,484)="","",1)</f>
        <v/>
      </c>
      <c r="AJ484" s="95" t="str">
        <f aca="false">IF(OR(AI484="",INDEX($Z:$Z,484)="",INDEX($U:$U,484)="Declined"),"",1)</f>
        <v/>
      </c>
      <c r="AK484" s="95" t="str">
        <f aca="false">IF(AJ484="","",INDEX($Z:$Z,484)&amp;"-"&amp;COUNTIFS($Z$7:Z484,INDEX($Z:$Z,484),$AJ$7:AJ484,1))</f>
        <v/>
      </c>
      <c r="AL484" s="43" t="str">
        <f aca="false">IF(AI484="","",TRIM(INDEX($D:$D,484)&amp;" "&amp;INDEX($C:$C,484))&amp;IF(INDEX($I:$I,484)="Yes"," (child)",""))</f>
        <v/>
      </c>
      <c r="AM484" s="95" t="str">
        <f aca="false">IF(OR(AI484="",INDEX($X:$X,484)="",INDEX($U:$U,484)="Declined"),"",COUNTIFS($X$7:X484,"?*",$U$7:U484,"&lt;&gt;Declined",$AI$7:AI484,1))</f>
        <v/>
      </c>
      <c r="AN484" s="95" t="str">
        <f aca="false">IF(AI484="","",IF(INDEX($L:$L,484)="",1,IF(COUNTIF($L$7:L484,INDEX($L:$L,484))=1,1,"")))</f>
        <v/>
      </c>
      <c r="AO484" s="95" t="str">
        <f aca="false">IF(AN484&lt;&gt;1,"",IF(INDEX($L:$L,484)="",IF(INDEX($S:$S,484)="Yes",1,""),IF(COUNTIFS($L$7:$L$506,INDEX($L:$L,484),$S$7:$S$506,"Yes")&gt;0,1,"")))</f>
        <v/>
      </c>
      <c r="AP484" s="95" t="str">
        <f aca="false">IF(AN484&lt;&gt;1,"",IF(INDEX($L:$L,484)&lt;&gt;"",INDEX($L:$L,484),TRIM(INDEX($D:$D,484)&amp;" "&amp;INDEX($C:$C,484))))</f>
        <v/>
      </c>
      <c r="AQ484" s="43" t="str">
        <f aca="false">IF(OR(AI484="",INDEX($I:$I,484)="Yes"),"",1)</f>
        <v/>
      </c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customFormat="false" ht="21.75" hidden="false" customHeight="true" outlineLevel="0" collapsed="false">
      <c r="A485" s="1"/>
      <c r="B485" s="113" t="str">
        <f aca="false">IF(AI485="","",COUNT($AI$7:AI485))</f>
        <v/>
      </c>
      <c r="C485" s="114"/>
      <c r="D485" s="114"/>
      <c r="E485" s="114"/>
      <c r="F485" s="114"/>
      <c r="G485" s="115"/>
      <c r="H485" s="115"/>
      <c r="I485" s="115"/>
      <c r="J485" s="115"/>
      <c r="K485" s="115"/>
      <c r="L485" s="114"/>
      <c r="M485" s="114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4"/>
      <c r="Y485" s="114"/>
      <c r="Z485" s="115"/>
      <c r="AA485" s="114"/>
      <c r="AB485" s="114"/>
      <c r="AC485" s="115"/>
      <c r="AD485" s="116"/>
      <c r="AE485" s="114"/>
      <c r="AF485" s="114"/>
      <c r="AG485" s="114"/>
      <c r="AH485" s="1"/>
      <c r="AI485" s="95" t="str">
        <f aca="false">IF(INDEX($C:$C,485)&amp;INDEX($D:$D,485)="","",1)</f>
        <v/>
      </c>
      <c r="AJ485" s="95" t="str">
        <f aca="false">IF(OR(AI485="",INDEX($Z:$Z,485)="",INDEX($U:$U,485)="Declined"),"",1)</f>
        <v/>
      </c>
      <c r="AK485" s="95" t="str">
        <f aca="false">IF(AJ485="","",INDEX($Z:$Z,485)&amp;"-"&amp;COUNTIFS($Z$7:Z485,INDEX($Z:$Z,485),$AJ$7:AJ485,1))</f>
        <v/>
      </c>
      <c r="AL485" s="43" t="str">
        <f aca="false">IF(AI485="","",TRIM(INDEX($D:$D,485)&amp;" "&amp;INDEX($C:$C,485))&amp;IF(INDEX($I:$I,485)="Yes"," (child)",""))</f>
        <v/>
      </c>
      <c r="AM485" s="95" t="str">
        <f aca="false">IF(OR(AI485="",INDEX($X:$X,485)="",INDEX($U:$U,485)="Declined"),"",COUNTIFS($X$7:X485,"?*",$U$7:U485,"&lt;&gt;Declined",$AI$7:AI485,1))</f>
        <v/>
      </c>
      <c r="AN485" s="95" t="str">
        <f aca="false">IF(AI485="","",IF(INDEX($L:$L,485)="",1,IF(COUNTIF($L$7:L485,INDEX($L:$L,485))=1,1,"")))</f>
        <v/>
      </c>
      <c r="AO485" s="95" t="str">
        <f aca="false">IF(AN485&lt;&gt;1,"",IF(INDEX($L:$L,485)="",IF(INDEX($S:$S,485)="Yes",1,""),IF(COUNTIFS($L$7:$L$506,INDEX($L:$L,485),$S$7:$S$506,"Yes")&gt;0,1,"")))</f>
        <v/>
      </c>
      <c r="AP485" s="95" t="str">
        <f aca="false">IF(AN485&lt;&gt;1,"",IF(INDEX($L:$L,485)&lt;&gt;"",INDEX($L:$L,485),TRIM(INDEX($D:$D,485)&amp;" "&amp;INDEX($C:$C,485))))</f>
        <v/>
      </c>
      <c r="AQ485" s="43" t="str">
        <f aca="false">IF(OR(AI485="",INDEX($I:$I,485)="Yes"),"",1)</f>
        <v/>
      </c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customFormat="false" ht="21.75" hidden="false" customHeight="true" outlineLevel="0" collapsed="false">
      <c r="A486" s="1"/>
      <c r="B486" s="113" t="str">
        <f aca="false">IF(AI486="","",COUNT($AI$7:AI486))</f>
        <v/>
      </c>
      <c r="C486" s="114"/>
      <c r="D486" s="114"/>
      <c r="E486" s="114"/>
      <c r="F486" s="114"/>
      <c r="G486" s="115"/>
      <c r="H486" s="115"/>
      <c r="I486" s="115"/>
      <c r="J486" s="115"/>
      <c r="K486" s="115"/>
      <c r="L486" s="114"/>
      <c r="M486" s="114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4"/>
      <c r="Y486" s="114"/>
      <c r="Z486" s="115"/>
      <c r="AA486" s="114"/>
      <c r="AB486" s="114"/>
      <c r="AC486" s="115"/>
      <c r="AD486" s="116"/>
      <c r="AE486" s="114"/>
      <c r="AF486" s="114"/>
      <c r="AG486" s="114"/>
      <c r="AH486" s="1"/>
      <c r="AI486" s="95" t="str">
        <f aca="false">IF(INDEX($C:$C,486)&amp;INDEX($D:$D,486)="","",1)</f>
        <v/>
      </c>
      <c r="AJ486" s="95" t="str">
        <f aca="false">IF(OR(AI486="",INDEX($Z:$Z,486)="",INDEX($U:$U,486)="Declined"),"",1)</f>
        <v/>
      </c>
      <c r="AK486" s="95" t="str">
        <f aca="false">IF(AJ486="","",INDEX($Z:$Z,486)&amp;"-"&amp;COUNTIFS($Z$7:Z486,INDEX($Z:$Z,486),$AJ$7:AJ486,1))</f>
        <v/>
      </c>
      <c r="AL486" s="43" t="str">
        <f aca="false">IF(AI486="","",TRIM(INDEX($D:$D,486)&amp;" "&amp;INDEX($C:$C,486))&amp;IF(INDEX($I:$I,486)="Yes"," (child)",""))</f>
        <v/>
      </c>
      <c r="AM486" s="95" t="str">
        <f aca="false">IF(OR(AI486="",INDEX($X:$X,486)="",INDEX($U:$U,486)="Declined"),"",COUNTIFS($X$7:X486,"?*",$U$7:U486,"&lt;&gt;Declined",$AI$7:AI486,1))</f>
        <v/>
      </c>
      <c r="AN486" s="95" t="str">
        <f aca="false">IF(AI486="","",IF(INDEX($L:$L,486)="",1,IF(COUNTIF($L$7:L486,INDEX($L:$L,486))=1,1,"")))</f>
        <v/>
      </c>
      <c r="AO486" s="95" t="str">
        <f aca="false">IF(AN486&lt;&gt;1,"",IF(INDEX($L:$L,486)="",IF(INDEX($S:$S,486)="Yes",1,""),IF(COUNTIFS($L$7:$L$506,INDEX($L:$L,486),$S$7:$S$506,"Yes")&gt;0,1,"")))</f>
        <v/>
      </c>
      <c r="AP486" s="95" t="str">
        <f aca="false">IF(AN486&lt;&gt;1,"",IF(INDEX($L:$L,486)&lt;&gt;"",INDEX($L:$L,486),TRIM(INDEX($D:$D,486)&amp;" "&amp;INDEX($C:$C,486))))</f>
        <v/>
      </c>
      <c r="AQ486" s="43" t="str">
        <f aca="false">IF(OR(AI486="",INDEX($I:$I,486)="Yes"),"",1)</f>
        <v/>
      </c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customFormat="false" ht="21.75" hidden="false" customHeight="true" outlineLevel="0" collapsed="false">
      <c r="A487" s="1"/>
      <c r="B487" s="113" t="str">
        <f aca="false">IF(AI487="","",COUNT($AI$7:AI487))</f>
        <v/>
      </c>
      <c r="C487" s="114"/>
      <c r="D487" s="114"/>
      <c r="E487" s="114"/>
      <c r="F487" s="114"/>
      <c r="G487" s="115"/>
      <c r="H487" s="115"/>
      <c r="I487" s="115"/>
      <c r="J487" s="115"/>
      <c r="K487" s="115"/>
      <c r="L487" s="114"/>
      <c r="M487" s="114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4"/>
      <c r="Y487" s="114"/>
      <c r="Z487" s="115"/>
      <c r="AA487" s="114"/>
      <c r="AB487" s="114"/>
      <c r="AC487" s="115"/>
      <c r="AD487" s="116"/>
      <c r="AE487" s="114"/>
      <c r="AF487" s="114"/>
      <c r="AG487" s="114"/>
      <c r="AH487" s="1"/>
      <c r="AI487" s="95" t="str">
        <f aca="false">IF(INDEX($C:$C,487)&amp;INDEX($D:$D,487)="","",1)</f>
        <v/>
      </c>
      <c r="AJ487" s="95" t="str">
        <f aca="false">IF(OR(AI487="",INDEX($Z:$Z,487)="",INDEX($U:$U,487)="Declined"),"",1)</f>
        <v/>
      </c>
      <c r="AK487" s="95" t="str">
        <f aca="false">IF(AJ487="","",INDEX($Z:$Z,487)&amp;"-"&amp;COUNTIFS($Z$7:Z487,INDEX($Z:$Z,487),$AJ$7:AJ487,1))</f>
        <v/>
      </c>
      <c r="AL487" s="43" t="str">
        <f aca="false">IF(AI487="","",TRIM(INDEX($D:$D,487)&amp;" "&amp;INDEX($C:$C,487))&amp;IF(INDEX($I:$I,487)="Yes"," (child)",""))</f>
        <v/>
      </c>
      <c r="AM487" s="95" t="str">
        <f aca="false">IF(OR(AI487="",INDEX($X:$X,487)="",INDEX($U:$U,487)="Declined"),"",COUNTIFS($X$7:X487,"?*",$U$7:U487,"&lt;&gt;Declined",$AI$7:AI487,1))</f>
        <v/>
      </c>
      <c r="AN487" s="95" t="str">
        <f aca="false">IF(AI487="","",IF(INDEX($L:$L,487)="",1,IF(COUNTIF($L$7:L487,INDEX($L:$L,487))=1,1,"")))</f>
        <v/>
      </c>
      <c r="AO487" s="95" t="str">
        <f aca="false">IF(AN487&lt;&gt;1,"",IF(INDEX($L:$L,487)="",IF(INDEX($S:$S,487)="Yes",1,""),IF(COUNTIFS($L$7:$L$506,INDEX($L:$L,487),$S$7:$S$506,"Yes")&gt;0,1,"")))</f>
        <v/>
      </c>
      <c r="AP487" s="95" t="str">
        <f aca="false">IF(AN487&lt;&gt;1,"",IF(INDEX($L:$L,487)&lt;&gt;"",INDEX($L:$L,487),TRIM(INDEX($D:$D,487)&amp;" "&amp;INDEX($C:$C,487))))</f>
        <v/>
      </c>
      <c r="AQ487" s="43" t="str">
        <f aca="false">IF(OR(AI487="",INDEX($I:$I,487)="Yes"),"",1)</f>
        <v/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customFormat="false" ht="21.75" hidden="false" customHeight="true" outlineLevel="0" collapsed="false">
      <c r="A488" s="1"/>
      <c r="B488" s="113" t="str">
        <f aca="false">IF(AI488="","",COUNT($AI$7:AI488))</f>
        <v/>
      </c>
      <c r="C488" s="114"/>
      <c r="D488" s="114"/>
      <c r="E488" s="114"/>
      <c r="F488" s="114"/>
      <c r="G488" s="115"/>
      <c r="H488" s="115"/>
      <c r="I488" s="115"/>
      <c r="J488" s="115"/>
      <c r="K488" s="115"/>
      <c r="L488" s="114"/>
      <c r="M488" s="114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4"/>
      <c r="Y488" s="114"/>
      <c r="Z488" s="115"/>
      <c r="AA488" s="114"/>
      <c r="AB488" s="114"/>
      <c r="AC488" s="115"/>
      <c r="AD488" s="116"/>
      <c r="AE488" s="114"/>
      <c r="AF488" s="114"/>
      <c r="AG488" s="114"/>
      <c r="AH488" s="1"/>
      <c r="AI488" s="95" t="str">
        <f aca="false">IF(INDEX($C:$C,488)&amp;INDEX($D:$D,488)="","",1)</f>
        <v/>
      </c>
      <c r="AJ488" s="95" t="str">
        <f aca="false">IF(OR(AI488="",INDEX($Z:$Z,488)="",INDEX($U:$U,488)="Declined"),"",1)</f>
        <v/>
      </c>
      <c r="AK488" s="95" t="str">
        <f aca="false">IF(AJ488="","",INDEX($Z:$Z,488)&amp;"-"&amp;COUNTIFS($Z$7:Z488,INDEX($Z:$Z,488),$AJ$7:AJ488,1))</f>
        <v/>
      </c>
      <c r="AL488" s="43" t="str">
        <f aca="false">IF(AI488="","",TRIM(INDEX($D:$D,488)&amp;" "&amp;INDEX($C:$C,488))&amp;IF(INDEX($I:$I,488)="Yes"," (child)",""))</f>
        <v/>
      </c>
      <c r="AM488" s="95" t="str">
        <f aca="false">IF(OR(AI488="",INDEX($X:$X,488)="",INDEX($U:$U,488)="Declined"),"",COUNTIFS($X$7:X488,"?*",$U$7:U488,"&lt;&gt;Declined",$AI$7:AI488,1))</f>
        <v/>
      </c>
      <c r="AN488" s="95" t="str">
        <f aca="false">IF(AI488="","",IF(INDEX($L:$L,488)="",1,IF(COUNTIF($L$7:L488,INDEX($L:$L,488))=1,1,"")))</f>
        <v/>
      </c>
      <c r="AO488" s="95" t="str">
        <f aca="false">IF(AN488&lt;&gt;1,"",IF(INDEX($L:$L,488)="",IF(INDEX($S:$S,488)="Yes",1,""),IF(COUNTIFS($L$7:$L$506,INDEX($L:$L,488),$S$7:$S$506,"Yes")&gt;0,1,"")))</f>
        <v/>
      </c>
      <c r="AP488" s="95" t="str">
        <f aca="false">IF(AN488&lt;&gt;1,"",IF(INDEX($L:$L,488)&lt;&gt;"",INDEX($L:$L,488),TRIM(INDEX($D:$D,488)&amp;" "&amp;INDEX($C:$C,488))))</f>
        <v/>
      </c>
      <c r="AQ488" s="43" t="str">
        <f aca="false">IF(OR(AI488="",INDEX($I:$I,488)="Yes"),"",1)</f>
        <v/>
      </c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customFormat="false" ht="21.75" hidden="false" customHeight="true" outlineLevel="0" collapsed="false">
      <c r="A489" s="1"/>
      <c r="B489" s="113" t="str">
        <f aca="false">IF(AI489="","",COUNT($AI$7:AI489))</f>
        <v/>
      </c>
      <c r="C489" s="114"/>
      <c r="D489" s="114"/>
      <c r="E489" s="114"/>
      <c r="F489" s="114"/>
      <c r="G489" s="115"/>
      <c r="H489" s="115"/>
      <c r="I489" s="115"/>
      <c r="J489" s="115"/>
      <c r="K489" s="115"/>
      <c r="L489" s="114"/>
      <c r="M489" s="114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4"/>
      <c r="Y489" s="114"/>
      <c r="Z489" s="115"/>
      <c r="AA489" s="114"/>
      <c r="AB489" s="114"/>
      <c r="AC489" s="115"/>
      <c r="AD489" s="116"/>
      <c r="AE489" s="114"/>
      <c r="AF489" s="114"/>
      <c r="AG489" s="114"/>
      <c r="AH489" s="1"/>
      <c r="AI489" s="95" t="str">
        <f aca="false">IF(INDEX($C:$C,489)&amp;INDEX($D:$D,489)="","",1)</f>
        <v/>
      </c>
      <c r="AJ489" s="95" t="str">
        <f aca="false">IF(OR(AI489="",INDEX($Z:$Z,489)="",INDEX($U:$U,489)="Declined"),"",1)</f>
        <v/>
      </c>
      <c r="AK489" s="95" t="str">
        <f aca="false">IF(AJ489="","",INDEX($Z:$Z,489)&amp;"-"&amp;COUNTIFS($Z$7:Z489,INDEX($Z:$Z,489),$AJ$7:AJ489,1))</f>
        <v/>
      </c>
      <c r="AL489" s="43" t="str">
        <f aca="false">IF(AI489="","",TRIM(INDEX($D:$D,489)&amp;" "&amp;INDEX($C:$C,489))&amp;IF(INDEX($I:$I,489)="Yes"," (child)",""))</f>
        <v/>
      </c>
      <c r="AM489" s="95" t="str">
        <f aca="false">IF(OR(AI489="",INDEX($X:$X,489)="",INDEX($U:$U,489)="Declined"),"",COUNTIFS($X$7:X489,"?*",$U$7:U489,"&lt;&gt;Declined",$AI$7:AI489,1))</f>
        <v/>
      </c>
      <c r="AN489" s="95" t="str">
        <f aca="false">IF(AI489="","",IF(INDEX($L:$L,489)="",1,IF(COUNTIF($L$7:L489,INDEX($L:$L,489))=1,1,"")))</f>
        <v/>
      </c>
      <c r="AO489" s="95" t="str">
        <f aca="false">IF(AN489&lt;&gt;1,"",IF(INDEX($L:$L,489)="",IF(INDEX($S:$S,489)="Yes",1,""),IF(COUNTIFS($L$7:$L$506,INDEX($L:$L,489),$S$7:$S$506,"Yes")&gt;0,1,"")))</f>
        <v/>
      </c>
      <c r="AP489" s="95" t="str">
        <f aca="false">IF(AN489&lt;&gt;1,"",IF(INDEX($L:$L,489)&lt;&gt;"",INDEX($L:$L,489),TRIM(INDEX($D:$D,489)&amp;" "&amp;INDEX($C:$C,489))))</f>
        <v/>
      </c>
      <c r="AQ489" s="43" t="str">
        <f aca="false">IF(OR(AI489="",INDEX($I:$I,489)="Yes"),"",1)</f>
        <v/>
      </c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customFormat="false" ht="21.75" hidden="false" customHeight="true" outlineLevel="0" collapsed="false">
      <c r="A490" s="1"/>
      <c r="B490" s="113" t="str">
        <f aca="false">IF(AI490="","",COUNT($AI$7:AI490))</f>
        <v/>
      </c>
      <c r="C490" s="114"/>
      <c r="D490" s="114"/>
      <c r="E490" s="114"/>
      <c r="F490" s="114"/>
      <c r="G490" s="115"/>
      <c r="H490" s="115"/>
      <c r="I490" s="115"/>
      <c r="J490" s="115"/>
      <c r="K490" s="115"/>
      <c r="L490" s="114"/>
      <c r="M490" s="114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4"/>
      <c r="Y490" s="114"/>
      <c r="Z490" s="115"/>
      <c r="AA490" s="114"/>
      <c r="AB490" s="114"/>
      <c r="AC490" s="115"/>
      <c r="AD490" s="116"/>
      <c r="AE490" s="114"/>
      <c r="AF490" s="114"/>
      <c r="AG490" s="114"/>
      <c r="AH490" s="1"/>
      <c r="AI490" s="95" t="str">
        <f aca="false">IF(INDEX($C:$C,490)&amp;INDEX($D:$D,490)="","",1)</f>
        <v/>
      </c>
      <c r="AJ490" s="95" t="str">
        <f aca="false">IF(OR(AI490="",INDEX($Z:$Z,490)="",INDEX($U:$U,490)="Declined"),"",1)</f>
        <v/>
      </c>
      <c r="AK490" s="95" t="str">
        <f aca="false">IF(AJ490="","",INDEX($Z:$Z,490)&amp;"-"&amp;COUNTIFS($Z$7:Z490,INDEX($Z:$Z,490),$AJ$7:AJ490,1))</f>
        <v/>
      </c>
      <c r="AL490" s="43" t="str">
        <f aca="false">IF(AI490="","",TRIM(INDEX($D:$D,490)&amp;" "&amp;INDEX($C:$C,490))&amp;IF(INDEX($I:$I,490)="Yes"," (child)",""))</f>
        <v/>
      </c>
      <c r="AM490" s="95" t="str">
        <f aca="false">IF(OR(AI490="",INDEX($X:$X,490)="",INDEX($U:$U,490)="Declined"),"",COUNTIFS($X$7:X490,"?*",$U$7:U490,"&lt;&gt;Declined",$AI$7:AI490,1))</f>
        <v/>
      </c>
      <c r="AN490" s="95" t="str">
        <f aca="false">IF(AI490="","",IF(INDEX($L:$L,490)="",1,IF(COUNTIF($L$7:L490,INDEX($L:$L,490))=1,1,"")))</f>
        <v/>
      </c>
      <c r="AO490" s="95" t="str">
        <f aca="false">IF(AN490&lt;&gt;1,"",IF(INDEX($L:$L,490)="",IF(INDEX($S:$S,490)="Yes",1,""),IF(COUNTIFS($L$7:$L$506,INDEX($L:$L,490),$S$7:$S$506,"Yes")&gt;0,1,"")))</f>
        <v/>
      </c>
      <c r="AP490" s="95" t="str">
        <f aca="false">IF(AN490&lt;&gt;1,"",IF(INDEX($L:$L,490)&lt;&gt;"",INDEX($L:$L,490),TRIM(INDEX($D:$D,490)&amp;" "&amp;INDEX($C:$C,490))))</f>
        <v/>
      </c>
      <c r="AQ490" s="43" t="str">
        <f aca="false">IF(OR(AI490="",INDEX($I:$I,490)="Yes"),"",1)</f>
        <v/>
      </c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customFormat="false" ht="21.75" hidden="false" customHeight="true" outlineLevel="0" collapsed="false">
      <c r="A491" s="1"/>
      <c r="B491" s="113" t="str">
        <f aca="false">IF(AI491="","",COUNT($AI$7:AI491))</f>
        <v/>
      </c>
      <c r="C491" s="114"/>
      <c r="D491" s="114"/>
      <c r="E491" s="114"/>
      <c r="F491" s="114"/>
      <c r="G491" s="115"/>
      <c r="H491" s="115"/>
      <c r="I491" s="115"/>
      <c r="J491" s="115"/>
      <c r="K491" s="115"/>
      <c r="L491" s="114"/>
      <c r="M491" s="114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4"/>
      <c r="Y491" s="114"/>
      <c r="Z491" s="115"/>
      <c r="AA491" s="114"/>
      <c r="AB491" s="114"/>
      <c r="AC491" s="115"/>
      <c r="AD491" s="116"/>
      <c r="AE491" s="114"/>
      <c r="AF491" s="114"/>
      <c r="AG491" s="114"/>
      <c r="AH491" s="1"/>
      <c r="AI491" s="95" t="str">
        <f aca="false">IF(INDEX($C:$C,491)&amp;INDEX($D:$D,491)="","",1)</f>
        <v/>
      </c>
      <c r="AJ491" s="95" t="str">
        <f aca="false">IF(OR(AI491="",INDEX($Z:$Z,491)="",INDEX($U:$U,491)="Declined"),"",1)</f>
        <v/>
      </c>
      <c r="AK491" s="95" t="str">
        <f aca="false">IF(AJ491="","",INDEX($Z:$Z,491)&amp;"-"&amp;COUNTIFS($Z$7:Z491,INDEX($Z:$Z,491),$AJ$7:AJ491,1))</f>
        <v/>
      </c>
      <c r="AL491" s="43" t="str">
        <f aca="false">IF(AI491="","",TRIM(INDEX($D:$D,491)&amp;" "&amp;INDEX($C:$C,491))&amp;IF(INDEX($I:$I,491)="Yes"," (child)",""))</f>
        <v/>
      </c>
      <c r="AM491" s="95" t="str">
        <f aca="false">IF(OR(AI491="",INDEX($X:$X,491)="",INDEX($U:$U,491)="Declined"),"",COUNTIFS($X$7:X491,"?*",$U$7:U491,"&lt;&gt;Declined",$AI$7:AI491,1))</f>
        <v/>
      </c>
      <c r="AN491" s="95" t="str">
        <f aca="false">IF(AI491="","",IF(INDEX($L:$L,491)="",1,IF(COUNTIF($L$7:L491,INDEX($L:$L,491))=1,1,"")))</f>
        <v/>
      </c>
      <c r="AO491" s="95" t="str">
        <f aca="false">IF(AN491&lt;&gt;1,"",IF(INDEX($L:$L,491)="",IF(INDEX($S:$S,491)="Yes",1,""),IF(COUNTIFS($L$7:$L$506,INDEX($L:$L,491),$S$7:$S$506,"Yes")&gt;0,1,"")))</f>
        <v/>
      </c>
      <c r="AP491" s="95" t="str">
        <f aca="false">IF(AN491&lt;&gt;1,"",IF(INDEX($L:$L,491)&lt;&gt;"",INDEX($L:$L,491),TRIM(INDEX($D:$D,491)&amp;" "&amp;INDEX($C:$C,491))))</f>
        <v/>
      </c>
      <c r="AQ491" s="43" t="str">
        <f aca="false">IF(OR(AI491="",INDEX($I:$I,491)="Yes"),"",1)</f>
        <v/>
      </c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customFormat="false" ht="21.75" hidden="false" customHeight="true" outlineLevel="0" collapsed="false">
      <c r="A492" s="1"/>
      <c r="B492" s="113" t="str">
        <f aca="false">IF(AI492="","",COUNT($AI$7:AI492))</f>
        <v/>
      </c>
      <c r="C492" s="114"/>
      <c r="D492" s="114"/>
      <c r="E492" s="114"/>
      <c r="F492" s="114"/>
      <c r="G492" s="115"/>
      <c r="H492" s="115"/>
      <c r="I492" s="115"/>
      <c r="J492" s="115"/>
      <c r="K492" s="115"/>
      <c r="L492" s="114"/>
      <c r="M492" s="114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4"/>
      <c r="Y492" s="114"/>
      <c r="Z492" s="115"/>
      <c r="AA492" s="114"/>
      <c r="AB492" s="114"/>
      <c r="AC492" s="115"/>
      <c r="AD492" s="116"/>
      <c r="AE492" s="114"/>
      <c r="AF492" s="114"/>
      <c r="AG492" s="114"/>
      <c r="AH492" s="1"/>
      <c r="AI492" s="95" t="str">
        <f aca="false">IF(INDEX($C:$C,492)&amp;INDEX($D:$D,492)="","",1)</f>
        <v/>
      </c>
      <c r="AJ492" s="95" t="str">
        <f aca="false">IF(OR(AI492="",INDEX($Z:$Z,492)="",INDEX($U:$U,492)="Declined"),"",1)</f>
        <v/>
      </c>
      <c r="AK492" s="95" t="str">
        <f aca="false">IF(AJ492="","",INDEX($Z:$Z,492)&amp;"-"&amp;COUNTIFS($Z$7:Z492,INDEX($Z:$Z,492),$AJ$7:AJ492,1))</f>
        <v/>
      </c>
      <c r="AL492" s="43" t="str">
        <f aca="false">IF(AI492="","",TRIM(INDEX($D:$D,492)&amp;" "&amp;INDEX($C:$C,492))&amp;IF(INDEX($I:$I,492)="Yes"," (child)",""))</f>
        <v/>
      </c>
      <c r="AM492" s="95" t="str">
        <f aca="false">IF(OR(AI492="",INDEX($X:$X,492)="",INDEX($U:$U,492)="Declined"),"",COUNTIFS($X$7:X492,"?*",$U$7:U492,"&lt;&gt;Declined",$AI$7:AI492,1))</f>
        <v/>
      </c>
      <c r="AN492" s="95" t="str">
        <f aca="false">IF(AI492="","",IF(INDEX($L:$L,492)="",1,IF(COUNTIF($L$7:L492,INDEX($L:$L,492))=1,1,"")))</f>
        <v/>
      </c>
      <c r="AO492" s="95" t="str">
        <f aca="false">IF(AN492&lt;&gt;1,"",IF(INDEX($L:$L,492)="",IF(INDEX($S:$S,492)="Yes",1,""),IF(COUNTIFS($L$7:$L$506,INDEX($L:$L,492),$S$7:$S$506,"Yes")&gt;0,1,"")))</f>
        <v/>
      </c>
      <c r="AP492" s="95" t="str">
        <f aca="false">IF(AN492&lt;&gt;1,"",IF(INDEX($L:$L,492)&lt;&gt;"",INDEX($L:$L,492),TRIM(INDEX($D:$D,492)&amp;" "&amp;INDEX($C:$C,492))))</f>
        <v/>
      </c>
      <c r="AQ492" s="43" t="str">
        <f aca="false">IF(OR(AI492="",INDEX($I:$I,492)="Yes"),"",1)</f>
        <v/>
      </c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customFormat="false" ht="21.75" hidden="false" customHeight="true" outlineLevel="0" collapsed="false">
      <c r="A493" s="1"/>
      <c r="B493" s="113" t="str">
        <f aca="false">IF(AI493="","",COUNT($AI$7:AI493))</f>
        <v/>
      </c>
      <c r="C493" s="114"/>
      <c r="D493" s="114"/>
      <c r="E493" s="114"/>
      <c r="F493" s="114"/>
      <c r="G493" s="115"/>
      <c r="H493" s="115"/>
      <c r="I493" s="115"/>
      <c r="J493" s="115"/>
      <c r="K493" s="115"/>
      <c r="L493" s="114"/>
      <c r="M493" s="114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4"/>
      <c r="Y493" s="114"/>
      <c r="Z493" s="115"/>
      <c r="AA493" s="114"/>
      <c r="AB493" s="114"/>
      <c r="AC493" s="115"/>
      <c r="AD493" s="116"/>
      <c r="AE493" s="114"/>
      <c r="AF493" s="114"/>
      <c r="AG493" s="114"/>
      <c r="AH493" s="1"/>
      <c r="AI493" s="95" t="str">
        <f aca="false">IF(INDEX($C:$C,493)&amp;INDEX($D:$D,493)="","",1)</f>
        <v/>
      </c>
      <c r="AJ493" s="95" t="str">
        <f aca="false">IF(OR(AI493="",INDEX($Z:$Z,493)="",INDEX($U:$U,493)="Declined"),"",1)</f>
        <v/>
      </c>
      <c r="AK493" s="95" t="str">
        <f aca="false">IF(AJ493="","",INDEX($Z:$Z,493)&amp;"-"&amp;COUNTIFS($Z$7:Z493,INDEX($Z:$Z,493),$AJ$7:AJ493,1))</f>
        <v/>
      </c>
      <c r="AL493" s="43" t="str">
        <f aca="false">IF(AI493="","",TRIM(INDEX($D:$D,493)&amp;" "&amp;INDEX($C:$C,493))&amp;IF(INDEX($I:$I,493)="Yes"," (child)",""))</f>
        <v/>
      </c>
      <c r="AM493" s="95" t="str">
        <f aca="false">IF(OR(AI493="",INDEX($X:$X,493)="",INDEX($U:$U,493)="Declined"),"",COUNTIFS($X$7:X493,"?*",$U$7:U493,"&lt;&gt;Declined",$AI$7:AI493,1))</f>
        <v/>
      </c>
      <c r="AN493" s="95" t="str">
        <f aca="false">IF(AI493="","",IF(INDEX($L:$L,493)="",1,IF(COUNTIF($L$7:L493,INDEX($L:$L,493))=1,1,"")))</f>
        <v/>
      </c>
      <c r="AO493" s="95" t="str">
        <f aca="false">IF(AN493&lt;&gt;1,"",IF(INDEX($L:$L,493)="",IF(INDEX($S:$S,493)="Yes",1,""),IF(COUNTIFS($L$7:$L$506,INDEX($L:$L,493),$S$7:$S$506,"Yes")&gt;0,1,"")))</f>
        <v/>
      </c>
      <c r="AP493" s="95" t="str">
        <f aca="false">IF(AN493&lt;&gt;1,"",IF(INDEX($L:$L,493)&lt;&gt;"",INDEX($L:$L,493),TRIM(INDEX($D:$D,493)&amp;" "&amp;INDEX($C:$C,493))))</f>
        <v/>
      </c>
      <c r="AQ493" s="43" t="str">
        <f aca="false">IF(OR(AI493="",INDEX($I:$I,493)="Yes"),"",1)</f>
        <v/>
      </c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customFormat="false" ht="21.75" hidden="false" customHeight="true" outlineLevel="0" collapsed="false">
      <c r="A494" s="1"/>
      <c r="B494" s="113" t="str">
        <f aca="false">IF(AI494="","",COUNT($AI$7:AI494))</f>
        <v/>
      </c>
      <c r="C494" s="114"/>
      <c r="D494" s="114"/>
      <c r="E494" s="114"/>
      <c r="F494" s="114"/>
      <c r="G494" s="115"/>
      <c r="H494" s="115"/>
      <c r="I494" s="115"/>
      <c r="J494" s="115"/>
      <c r="K494" s="115"/>
      <c r="L494" s="114"/>
      <c r="M494" s="114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4"/>
      <c r="Y494" s="114"/>
      <c r="Z494" s="115"/>
      <c r="AA494" s="114"/>
      <c r="AB494" s="114"/>
      <c r="AC494" s="115"/>
      <c r="AD494" s="116"/>
      <c r="AE494" s="114"/>
      <c r="AF494" s="114"/>
      <c r="AG494" s="114"/>
      <c r="AH494" s="1"/>
      <c r="AI494" s="95" t="str">
        <f aca="false">IF(INDEX($C:$C,494)&amp;INDEX($D:$D,494)="","",1)</f>
        <v/>
      </c>
      <c r="AJ494" s="95" t="str">
        <f aca="false">IF(OR(AI494="",INDEX($Z:$Z,494)="",INDEX($U:$U,494)="Declined"),"",1)</f>
        <v/>
      </c>
      <c r="AK494" s="95" t="str">
        <f aca="false">IF(AJ494="","",INDEX($Z:$Z,494)&amp;"-"&amp;COUNTIFS($Z$7:Z494,INDEX($Z:$Z,494),$AJ$7:AJ494,1))</f>
        <v/>
      </c>
      <c r="AL494" s="43" t="str">
        <f aca="false">IF(AI494="","",TRIM(INDEX($D:$D,494)&amp;" "&amp;INDEX($C:$C,494))&amp;IF(INDEX($I:$I,494)="Yes"," (child)",""))</f>
        <v/>
      </c>
      <c r="AM494" s="95" t="str">
        <f aca="false">IF(OR(AI494="",INDEX($X:$X,494)="",INDEX($U:$U,494)="Declined"),"",COUNTIFS($X$7:X494,"?*",$U$7:U494,"&lt;&gt;Declined",$AI$7:AI494,1))</f>
        <v/>
      </c>
      <c r="AN494" s="95" t="str">
        <f aca="false">IF(AI494="","",IF(INDEX($L:$L,494)="",1,IF(COUNTIF($L$7:L494,INDEX($L:$L,494))=1,1,"")))</f>
        <v/>
      </c>
      <c r="AO494" s="95" t="str">
        <f aca="false">IF(AN494&lt;&gt;1,"",IF(INDEX($L:$L,494)="",IF(INDEX($S:$S,494)="Yes",1,""),IF(COUNTIFS($L$7:$L$506,INDEX($L:$L,494),$S$7:$S$506,"Yes")&gt;0,1,"")))</f>
        <v/>
      </c>
      <c r="AP494" s="95" t="str">
        <f aca="false">IF(AN494&lt;&gt;1,"",IF(INDEX($L:$L,494)&lt;&gt;"",INDEX($L:$L,494),TRIM(INDEX($D:$D,494)&amp;" "&amp;INDEX($C:$C,494))))</f>
        <v/>
      </c>
      <c r="AQ494" s="43" t="str">
        <f aca="false">IF(OR(AI494="",INDEX($I:$I,494)="Yes"),"",1)</f>
        <v/>
      </c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customFormat="false" ht="21.75" hidden="false" customHeight="true" outlineLevel="0" collapsed="false">
      <c r="A495" s="1"/>
      <c r="B495" s="113" t="str">
        <f aca="false">IF(AI495="","",COUNT($AI$7:AI495))</f>
        <v/>
      </c>
      <c r="C495" s="114"/>
      <c r="D495" s="114"/>
      <c r="E495" s="114"/>
      <c r="F495" s="114"/>
      <c r="G495" s="115"/>
      <c r="H495" s="115"/>
      <c r="I495" s="115"/>
      <c r="J495" s="115"/>
      <c r="K495" s="115"/>
      <c r="L495" s="114"/>
      <c r="M495" s="114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4"/>
      <c r="Y495" s="114"/>
      <c r="Z495" s="115"/>
      <c r="AA495" s="114"/>
      <c r="AB495" s="114"/>
      <c r="AC495" s="115"/>
      <c r="AD495" s="116"/>
      <c r="AE495" s="114"/>
      <c r="AF495" s="114"/>
      <c r="AG495" s="114"/>
      <c r="AH495" s="1"/>
      <c r="AI495" s="95" t="str">
        <f aca="false">IF(INDEX($C:$C,495)&amp;INDEX($D:$D,495)="","",1)</f>
        <v/>
      </c>
      <c r="AJ495" s="95" t="str">
        <f aca="false">IF(OR(AI495="",INDEX($Z:$Z,495)="",INDEX($U:$U,495)="Declined"),"",1)</f>
        <v/>
      </c>
      <c r="AK495" s="95" t="str">
        <f aca="false">IF(AJ495="","",INDEX($Z:$Z,495)&amp;"-"&amp;COUNTIFS($Z$7:Z495,INDEX($Z:$Z,495),$AJ$7:AJ495,1))</f>
        <v/>
      </c>
      <c r="AL495" s="43" t="str">
        <f aca="false">IF(AI495="","",TRIM(INDEX($D:$D,495)&amp;" "&amp;INDEX($C:$C,495))&amp;IF(INDEX($I:$I,495)="Yes"," (child)",""))</f>
        <v/>
      </c>
      <c r="AM495" s="95" t="str">
        <f aca="false">IF(OR(AI495="",INDEX($X:$X,495)="",INDEX($U:$U,495)="Declined"),"",COUNTIFS($X$7:X495,"?*",$U$7:U495,"&lt;&gt;Declined",$AI$7:AI495,1))</f>
        <v/>
      </c>
      <c r="AN495" s="95" t="str">
        <f aca="false">IF(AI495="","",IF(INDEX($L:$L,495)="",1,IF(COUNTIF($L$7:L495,INDEX($L:$L,495))=1,1,"")))</f>
        <v/>
      </c>
      <c r="AO495" s="95" t="str">
        <f aca="false">IF(AN495&lt;&gt;1,"",IF(INDEX($L:$L,495)="",IF(INDEX($S:$S,495)="Yes",1,""),IF(COUNTIFS($L$7:$L$506,INDEX($L:$L,495),$S$7:$S$506,"Yes")&gt;0,1,"")))</f>
        <v/>
      </c>
      <c r="AP495" s="95" t="str">
        <f aca="false">IF(AN495&lt;&gt;1,"",IF(INDEX($L:$L,495)&lt;&gt;"",INDEX($L:$L,495),TRIM(INDEX($D:$D,495)&amp;" "&amp;INDEX($C:$C,495))))</f>
        <v/>
      </c>
      <c r="AQ495" s="43" t="str">
        <f aca="false">IF(OR(AI495="",INDEX($I:$I,495)="Yes"),"",1)</f>
        <v/>
      </c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customFormat="false" ht="21.75" hidden="false" customHeight="true" outlineLevel="0" collapsed="false">
      <c r="A496" s="1"/>
      <c r="B496" s="113" t="str">
        <f aca="false">IF(AI496="","",COUNT($AI$7:AI496))</f>
        <v/>
      </c>
      <c r="C496" s="114"/>
      <c r="D496" s="114"/>
      <c r="E496" s="114"/>
      <c r="F496" s="114"/>
      <c r="G496" s="115"/>
      <c r="H496" s="115"/>
      <c r="I496" s="115"/>
      <c r="J496" s="115"/>
      <c r="K496" s="115"/>
      <c r="L496" s="114"/>
      <c r="M496" s="114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4"/>
      <c r="Y496" s="114"/>
      <c r="Z496" s="115"/>
      <c r="AA496" s="114"/>
      <c r="AB496" s="114"/>
      <c r="AC496" s="115"/>
      <c r="AD496" s="116"/>
      <c r="AE496" s="114"/>
      <c r="AF496" s="114"/>
      <c r="AG496" s="114"/>
      <c r="AH496" s="1"/>
      <c r="AI496" s="95" t="str">
        <f aca="false">IF(INDEX($C:$C,496)&amp;INDEX($D:$D,496)="","",1)</f>
        <v/>
      </c>
      <c r="AJ496" s="95" t="str">
        <f aca="false">IF(OR(AI496="",INDEX($Z:$Z,496)="",INDEX($U:$U,496)="Declined"),"",1)</f>
        <v/>
      </c>
      <c r="AK496" s="95" t="str">
        <f aca="false">IF(AJ496="","",INDEX($Z:$Z,496)&amp;"-"&amp;COUNTIFS($Z$7:Z496,INDEX($Z:$Z,496),$AJ$7:AJ496,1))</f>
        <v/>
      </c>
      <c r="AL496" s="43" t="str">
        <f aca="false">IF(AI496="","",TRIM(INDEX($D:$D,496)&amp;" "&amp;INDEX($C:$C,496))&amp;IF(INDEX($I:$I,496)="Yes"," (child)",""))</f>
        <v/>
      </c>
      <c r="AM496" s="95" t="str">
        <f aca="false">IF(OR(AI496="",INDEX($X:$X,496)="",INDEX($U:$U,496)="Declined"),"",COUNTIFS($X$7:X496,"?*",$U$7:U496,"&lt;&gt;Declined",$AI$7:AI496,1))</f>
        <v/>
      </c>
      <c r="AN496" s="95" t="str">
        <f aca="false">IF(AI496="","",IF(INDEX($L:$L,496)="",1,IF(COUNTIF($L$7:L496,INDEX($L:$L,496))=1,1,"")))</f>
        <v/>
      </c>
      <c r="AO496" s="95" t="str">
        <f aca="false">IF(AN496&lt;&gt;1,"",IF(INDEX($L:$L,496)="",IF(INDEX($S:$S,496)="Yes",1,""),IF(COUNTIFS($L$7:$L$506,INDEX($L:$L,496),$S$7:$S$506,"Yes")&gt;0,1,"")))</f>
        <v/>
      </c>
      <c r="AP496" s="95" t="str">
        <f aca="false">IF(AN496&lt;&gt;1,"",IF(INDEX($L:$L,496)&lt;&gt;"",INDEX($L:$L,496),TRIM(INDEX($D:$D,496)&amp;" "&amp;INDEX($C:$C,496))))</f>
        <v/>
      </c>
      <c r="AQ496" s="43" t="str">
        <f aca="false">IF(OR(AI496="",INDEX($I:$I,496)="Yes"),"",1)</f>
        <v/>
      </c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customFormat="false" ht="21.75" hidden="false" customHeight="true" outlineLevel="0" collapsed="false">
      <c r="A497" s="1"/>
      <c r="B497" s="113" t="str">
        <f aca="false">IF(AI497="","",COUNT($AI$7:AI497))</f>
        <v/>
      </c>
      <c r="C497" s="114"/>
      <c r="D497" s="114"/>
      <c r="E497" s="114"/>
      <c r="F497" s="114"/>
      <c r="G497" s="115"/>
      <c r="H497" s="115"/>
      <c r="I497" s="115"/>
      <c r="J497" s="115"/>
      <c r="K497" s="115"/>
      <c r="L497" s="114"/>
      <c r="M497" s="114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4"/>
      <c r="Y497" s="114"/>
      <c r="Z497" s="115"/>
      <c r="AA497" s="114"/>
      <c r="AB497" s="114"/>
      <c r="AC497" s="115"/>
      <c r="AD497" s="116"/>
      <c r="AE497" s="114"/>
      <c r="AF497" s="114"/>
      <c r="AG497" s="114"/>
      <c r="AH497" s="1"/>
      <c r="AI497" s="95" t="str">
        <f aca="false">IF(INDEX($C:$C,497)&amp;INDEX($D:$D,497)="","",1)</f>
        <v/>
      </c>
      <c r="AJ497" s="95" t="str">
        <f aca="false">IF(OR(AI497="",INDEX($Z:$Z,497)="",INDEX($U:$U,497)="Declined"),"",1)</f>
        <v/>
      </c>
      <c r="AK497" s="95" t="str">
        <f aca="false">IF(AJ497="","",INDEX($Z:$Z,497)&amp;"-"&amp;COUNTIFS($Z$7:Z497,INDEX($Z:$Z,497),$AJ$7:AJ497,1))</f>
        <v/>
      </c>
      <c r="AL497" s="43" t="str">
        <f aca="false">IF(AI497="","",TRIM(INDEX($D:$D,497)&amp;" "&amp;INDEX($C:$C,497))&amp;IF(INDEX($I:$I,497)="Yes"," (child)",""))</f>
        <v/>
      </c>
      <c r="AM497" s="95" t="str">
        <f aca="false">IF(OR(AI497="",INDEX($X:$X,497)="",INDEX($U:$U,497)="Declined"),"",COUNTIFS($X$7:X497,"?*",$U$7:U497,"&lt;&gt;Declined",$AI$7:AI497,1))</f>
        <v/>
      </c>
      <c r="AN497" s="95" t="str">
        <f aca="false">IF(AI497="","",IF(INDEX($L:$L,497)="",1,IF(COUNTIF($L$7:L497,INDEX($L:$L,497))=1,1,"")))</f>
        <v/>
      </c>
      <c r="AO497" s="95" t="str">
        <f aca="false">IF(AN497&lt;&gt;1,"",IF(INDEX($L:$L,497)="",IF(INDEX($S:$S,497)="Yes",1,""),IF(COUNTIFS($L$7:$L$506,INDEX($L:$L,497),$S$7:$S$506,"Yes")&gt;0,1,"")))</f>
        <v/>
      </c>
      <c r="AP497" s="95" t="str">
        <f aca="false">IF(AN497&lt;&gt;1,"",IF(INDEX($L:$L,497)&lt;&gt;"",INDEX($L:$L,497),TRIM(INDEX($D:$D,497)&amp;" "&amp;INDEX($C:$C,497))))</f>
        <v/>
      </c>
      <c r="AQ497" s="43" t="str">
        <f aca="false">IF(OR(AI497="",INDEX($I:$I,497)="Yes"),"",1)</f>
        <v/>
      </c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customFormat="false" ht="21.75" hidden="false" customHeight="true" outlineLevel="0" collapsed="false">
      <c r="A498" s="1"/>
      <c r="B498" s="113" t="str">
        <f aca="false">IF(AI498="","",COUNT($AI$7:AI498))</f>
        <v/>
      </c>
      <c r="C498" s="114"/>
      <c r="D498" s="114"/>
      <c r="E498" s="114"/>
      <c r="F498" s="114"/>
      <c r="G498" s="115"/>
      <c r="H498" s="115"/>
      <c r="I498" s="115"/>
      <c r="J498" s="115"/>
      <c r="K498" s="115"/>
      <c r="L498" s="114"/>
      <c r="M498" s="114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4"/>
      <c r="Y498" s="114"/>
      <c r="Z498" s="115"/>
      <c r="AA498" s="114"/>
      <c r="AB498" s="114"/>
      <c r="AC498" s="115"/>
      <c r="AD498" s="116"/>
      <c r="AE498" s="114"/>
      <c r="AF498" s="114"/>
      <c r="AG498" s="114"/>
      <c r="AH498" s="1"/>
      <c r="AI498" s="95" t="str">
        <f aca="false">IF(INDEX($C:$C,498)&amp;INDEX($D:$D,498)="","",1)</f>
        <v/>
      </c>
      <c r="AJ498" s="95" t="str">
        <f aca="false">IF(OR(AI498="",INDEX($Z:$Z,498)="",INDEX($U:$U,498)="Declined"),"",1)</f>
        <v/>
      </c>
      <c r="AK498" s="95" t="str">
        <f aca="false">IF(AJ498="","",INDEX($Z:$Z,498)&amp;"-"&amp;COUNTIFS($Z$7:Z498,INDEX($Z:$Z,498),$AJ$7:AJ498,1))</f>
        <v/>
      </c>
      <c r="AL498" s="43" t="str">
        <f aca="false">IF(AI498="","",TRIM(INDEX($D:$D,498)&amp;" "&amp;INDEX($C:$C,498))&amp;IF(INDEX($I:$I,498)="Yes"," (child)",""))</f>
        <v/>
      </c>
      <c r="AM498" s="95" t="str">
        <f aca="false">IF(OR(AI498="",INDEX($X:$X,498)="",INDEX($U:$U,498)="Declined"),"",COUNTIFS($X$7:X498,"?*",$U$7:U498,"&lt;&gt;Declined",$AI$7:AI498,1))</f>
        <v/>
      </c>
      <c r="AN498" s="95" t="str">
        <f aca="false">IF(AI498="","",IF(INDEX($L:$L,498)="",1,IF(COUNTIF($L$7:L498,INDEX($L:$L,498))=1,1,"")))</f>
        <v/>
      </c>
      <c r="AO498" s="95" t="str">
        <f aca="false">IF(AN498&lt;&gt;1,"",IF(INDEX($L:$L,498)="",IF(INDEX($S:$S,498)="Yes",1,""),IF(COUNTIFS($L$7:$L$506,INDEX($L:$L,498),$S$7:$S$506,"Yes")&gt;0,1,"")))</f>
        <v/>
      </c>
      <c r="AP498" s="95" t="str">
        <f aca="false">IF(AN498&lt;&gt;1,"",IF(INDEX($L:$L,498)&lt;&gt;"",INDEX($L:$L,498),TRIM(INDEX($D:$D,498)&amp;" "&amp;INDEX($C:$C,498))))</f>
        <v/>
      </c>
      <c r="AQ498" s="43" t="str">
        <f aca="false">IF(OR(AI498="",INDEX($I:$I,498)="Yes"),"",1)</f>
        <v/>
      </c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customFormat="false" ht="21.75" hidden="false" customHeight="true" outlineLevel="0" collapsed="false">
      <c r="A499" s="1"/>
      <c r="B499" s="113" t="str">
        <f aca="false">IF(AI499="","",COUNT($AI$7:AI499))</f>
        <v/>
      </c>
      <c r="C499" s="114"/>
      <c r="D499" s="114"/>
      <c r="E499" s="114"/>
      <c r="F499" s="114"/>
      <c r="G499" s="115"/>
      <c r="H499" s="115"/>
      <c r="I499" s="115"/>
      <c r="J499" s="115"/>
      <c r="K499" s="115"/>
      <c r="L499" s="114"/>
      <c r="M499" s="114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4"/>
      <c r="Y499" s="114"/>
      <c r="Z499" s="115"/>
      <c r="AA499" s="114"/>
      <c r="AB499" s="114"/>
      <c r="AC499" s="115"/>
      <c r="AD499" s="116"/>
      <c r="AE499" s="114"/>
      <c r="AF499" s="114"/>
      <c r="AG499" s="114"/>
      <c r="AH499" s="1"/>
      <c r="AI499" s="95" t="str">
        <f aca="false">IF(INDEX($C:$C,499)&amp;INDEX($D:$D,499)="","",1)</f>
        <v/>
      </c>
      <c r="AJ499" s="95" t="str">
        <f aca="false">IF(OR(AI499="",INDEX($Z:$Z,499)="",INDEX($U:$U,499)="Declined"),"",1)</f>
        <v/>
      </c>
      <c r="AK499" s="95" t="str">
        <f aca="false">IF(AJ499="","",INDEX($Z:$Z,499)&amp;"-"&amp;COUNTIFS($Z$7:Z499,INDEX($Z:$Z,499),$AJ$7:AJ499,1))</f>
        <v/>
      </c>
      <c r="AL499" s="43" t="str">
        <f aca="false">IF(AI499="","",TRIM(INDEX($D:$D,499)&amp;" "&amp;INDEX($C:$C,499))&amp;IF(INDEX($I:$I,499)="Yes"," (child)",""))</f>
        <v/>
      </c>
      <c r="AM499" s="95" t="str">
        <f aca="false">IF(OR(AI499="",INDEX($X:$X,499)="",INDEX($U:$U,499)="Declined"),"",COUNTIFS($X$7:X499,"?*",$U$7:U499,"&lt;&gt;Declined",$AI$7:AI499,1))</f>
        <v/>
      </c>
      <c r="AN499" s="95" t="str">
        <f aca="false">IF(AI499="","",IF(INDEX($L:$L,499)="",1,IF(COUNTIF($L$7:L499,INDEX($L:$L,499))=1,1,"")))</f>
        <v/>
      </c>
      <c r="AO499" s="95" t="str">
        <f aca="false">IF(AN499&lt;&gt;1,"",IF(INDEX($L:$L,499)="",IF(INDEX($S:$S,499)="Yes",1,""),IF(COUNTIFS($L$7:$L$506,INDEX($L:$L,499),$S$7:$S$506,"Yes")&gt;0,1,"")))</f>
        <v/>
      </c>
      <c r="AP499" s="95" t="str">
        <f aca="false">IF(AN499&lt;&gt;1,"",IF(INDEX($L:$L,499)&lt;&gt;"",INDEX($L:$L,499),TRIM(INDEX($D:$D,499)&amp;" "&amp;INDEX($C:$C,499))))</f>
        <v/>
      </c>
      <c r="AQ499" s="43" t="str">
        <f aca="false">IF(OR(AI499="",INDEX($I:$I,499)="Yes"),"",1)</f>
        <v/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customFormat="false" ht="21.75" hidden="false" customHeight="true" outlineLevel="0" collapsed="false">
      <c r="A500" s="1"/>
      <c r="B500" s="113" t="str">
        <f aca="false">IF(AI500="","",COUNT($AI$7:AI500))</f>
        <v/>
      </c>
      <c r="C500" s="114"/>
      <c r="D500" s="114"/>
      <c r="E500" s="114"/>
      <c r="F500" s="114"/>
      <c r="G500" s="115"/>
      <c r="H500" s="115"/>
      <c r="I500" s="115"/>
      <c r="J500" s="115"/>
      <c r="K500" s="115"/>
      <c r="L500" s="114"/>
      <c r="M500" s="114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4"/>
      <c r="Y500" s="114"/>
      <c r="Z500" s="115"/>
      <c r="AA500" s="114"/>
      <c r="AB500" s="114"/>
      <c r="AC500" s="115"/>
      <c r="AD500" s="116"/>
      <c r="AE500" s="114"/>
      <c r="AF500" s="114"/>
      <c r="AG500" s="114"/>
      <c r="AH500" s="1"/>
      <c r="AI500" s="95" t="str">
        <f aca="false">IF(INDEX($C:$C,500)&amp;INDEX($D:$D,500)="","",1)</f>
        <v/>
      </c>
      <c r="AJ500" s="95" t="str">
        <f aca="false">IF(OR(AI500="",INDEX($Z:$Z,500)="",INDEX($U:$U,500)="Declined"),"",1)</f>
        <v/>
      </c>
      <c r="AK500" s="95" t="str">
        <f aca="false">IF(AJ500="","",INDEX($Z:$Z,500)&amp;"-"&amp;COUNTIFS($Z$7:Z500,INDEX($Z:$Z,500),$AJ$7:AJ500,1))</f>
        <v/>
      </c>
      <c r="AL500" s="43" t="str">
        <f aca="false">IF(AI500="","",TRIM(INDEX($D:$D,500)&amp;" "&amp;INDEX($C:$C,500))&amp;IF(INDEX($I:$I,500)="Yes"," (child)",""))</f>
        <v/>
      </c>
      <c r="AM500" s="95" t="str">
        <f aca="false">IF(OR(AI500="",INDEX($X:$X,500)="",INDEX($U:$U,500)="Declined"),"",COUNTIFS($X$7:X500,"?*",$U$7:U500,"&lt;&gt;Declined",$AI$7:AI500,1))</f>
        <v/>
      </c>
      <c r="AN500" s="95" t="str">
        <f aca="false">IF(AI500="","",IF(INDEX($L:$L,500)="",1,IF(COUNTIF($L$7:L500,INDEX($L:$L,500))=1,1,"")))</f>
        <v/>
      </c>
      <c r="AO500" s="95" t="str">
        <f aca="false">IF(AN500&lt;&gt;1,"",IF(INDEX($L:$L,500)="",IF(INDEX($S:$S,500)="Yes",1,""),IF(COUNTIFS($L$7:$L$506,INDEX($L:$L,500),$S$7:$S$506,"Yes")&gt;0,1,"")))</f>
        <v/>
      </c>
      <c r="AP500" s="95" t="str">
        <f aca="false">IF(AN500&lt;&gt;1,"",IF(INDEX($L:$L,500)&lt;&gt;"",INDEX($L:$L,500),TRIM(INDEX($D:$D,500)&amp;" "&amp;INDEX($C:$C,500))))</f>
        <v/>
      </c>
      <c r="AQ500" s="43" t="str">
        <f aca="false">IF(OR(AI500="",INDEX($I:$I,500)="Yes"),"",1)</f>
        <v/>
      </c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customFormat="false" ht="21.75" hidden="false" customHeight="true" outlineLevel="0" collapsed="false">
      <c r="A501" s="1"/>
      <c r="B501" s="113" t="str">
        <f aca="false">IF(AI501="","",COUNT($AI$7:AI501))</f>
        <v/>
      </c>
      <c r="C501" s="114"/>
      <c r="D501" s="114"/>
      <c r="E501" s="114"/>
      <c r="F501" s="114"/>
      <c r="G501" s="115"/>
      <c r="H501" s="115"/>
      <c r="I501" s="115"/>
      <c r="J501" s="115"/>
      <c r="K501" s="115"/>
      <c r="L501" s="114"/>
      <c r="M501" s="114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4"/>
      <c r="Y501" s="114"/>
      <c r="Z501" s="115"/>
      <c r="AA501" s="114"/>
      <c r="AB501" s="114"/>
      <c r="AC501" s="115"/>
      <c r="AD501" s="116"/>
      <c r="AE501" s="114"/>
      <c r="AF501" s="114"/>
      <c r="AG501" s="114"/>
      <c r="AH501" s="1"/>
      <c r="AI501" s="95" t="str">
        <f aca="false">IF(INDEX($C:$C,501)&amp;INDEX($D:$D,501)="","",1)</f>
        <v/>
      </c>
      <c r="AJ501" s="95" t="str">
        <f aca="false">IF(OR(AI501="",INDEX($Z:$Z,501)="",INDEX($U:$U,501)="Declined"),"",1)</f>
        <v/>
      </c>
      <c r="AK501" s="95" t="str">
        <f aca="false">IF(AJ501="","",INDEX($Z:$Z,501)&amp;"-"&amp;COUNTIFS($Z$7:Z501,INDEX($Z:$Z,501),$AJ$7:AJ501,1))</f>
        <v/>
      </c>
      <c r="AL501" s="43" t="str">
        <f aca="false">IF(AI501="","",TRIM(INDEX($D:$D,501)&amp;" "&amp;INDEX($C:$C,501))&amp;IF(INDEX($I:$I,501)="Yes"," (child)",""))</f>
        <v/>
      </c>
      <c r="AM501" s="95" t="str">
        <f aca="false">IF(OR(AI501="",INDEX($X:$X,501)="",INDEX($U:$U,501)="Declined"),"",COUNTIFS($X$7:X501,"?*",$U$7:U501,"&lt;&gt;Declined",$AI$7:AI501,1))</f>
        <v/>
      </c>
      <c r="AN501" s="95" t="str">
        <f aca="false">IF(AI501="","",IF(INDEX($L:$L,501)="",1,IF(COUNTIF($L$7:L501,INDEX($L:$L,501))=1,1,"")))</f>
        <v/>
      </c>
      <c r="AO501" s="95" t="str">
        <f aca="false">IF(AN501&lt;&gt;1,"",IF(INDEX($L:$L,501)="",IF(INDEX($S:$S,501)="Yes",1,""),IF(COUNTIFS($L$7:$L$506,INDEX($L:$L,501),$S$7:$S$506,"Yes")&gt;0,1,"")))</f>
        <v/>
      </c>
      <c r="AP501" s="95" t="str">
        <f aca="false">IF(AN501&lt;&gt;1,"",IF(INDEX($L:$L,501)&lt;&gt;"",INDEX($L:$L,501),TRIM(INDEX($D:$D,501)&amp;" "&amp;INDEX($C:$C,501))))</f>
        <v/>
      </c>
      <c r="AQ501" s="43" t="str">
        <f aca="false">IF(OR(AI501="",INDEX($I:$I,501)="Yes"),"",1)</f>
        <v/>
      </c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customFormat="false" ht="21.75" hidden="false" customHeight="true" outlineLevel="0" collapsed="false">
      <c r="A502" s="1"/>
      <c r="B502" s="113" t="str">
        <f aca="false">IF(AI502="","",COUNT($AI$7:AI502))</f>
        <v/>
      </c>
      <c r="C502" s="114"/>
      <c r="D502" s="114"/>
      <c r="E502" s="114"/>
      <c r="F502" s="114"/>
      <c r="G502" s="115"/>
      <c r="H502" s="115"/>
      <c r="I502" s="115"/>
      <c r="J502" s="115"/>
      <c r="K502" s="115"/>
      <c r="L502" s="114"/>
      <c r="M502" s="114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4"/>
      <c r="Y502" s="114"/>
      <c r="Z502" s="115"/>
      <c r="AA502" s="114"/>
      <c r="AB502" s="114"/>
      <c r="AC502" s="115"/>
      <c r="AD502" s="116"/>
      <c r="AE502" s="114"/>
      <c r="AF502" s="114"/>
      <c r="AG502" s="114"/>
      <c r="AH502" s="1"/>
      <c r="AI502" s="95" t="str">
        <f aca="false">IF(INDEX($C:$C,502)&amp;INDEX($D:$D,502)="","",1)</f>
        <v/>
      </c>
      <c r="AJ502" s="95" t="str">
        <f aca="false">IF(OR(AI502="",INDEX($Z:$Z,502)="",INDEX($U:$U,502)="Declined"),"",1)</f>
        <v/>
      </c>
      <c r="AK502" s="95" t="str">
        <f aca="false">IF(AJ502="","",INDEX($Z:$Z,502)&amp;"-"&amp;COUNTIFS($Z$7:Z502,INDEX($Z:$Z,502),$AJ$7:AJ502,1))</f>
        <v/>
      </c>
      <c r="AL502" s="43" t="str">
        <f aca="false">IF(AI502="","",TRIM(INDEX($D:$D,502)&amp;" "&amp;INDEX($C:$C,502))&amp;IF(INDEX($I:$I,502)="Yes"," (child)",""))</f>
        <v/>
      </c>
      <c r="AM502" s="95" t="str">
        <f aca="false">IF(OR(AI502="",INDEX($X:$X,502)="",INDEX($U:$U,502)="Declined"),"",COUNTIFS($X$7:X502,"?*",$U$7:U502,"&lt;&gt;Declined",$AI$7:AI502,1))</f>
        <v/>
      </c>
      <c r="AN502" s="95" t="str">
        <f aca="false">IF(AI502="","",IF(INDEX($L:$L,502)="",1,IF(COUNTIF($L$7:L502,INDEX($L:$L,502))=1,1,"")))</f>
        <v/>
      </c>
      <c r="AO502" s="95" t="str">
        <f aca="false">IF(AN502&lt;&gt;1,"",IF(INDEX($L:$L,502)="",IF(INDEX($S:$S,502)="Yes",1,""),IF(COUNTIFS($L$7:$L$506,INDEX($L:$L,502),$S$7:$S$506,"Yes")&gt;0,1,"")))</f>
        <v/>
      </c>
      <c r="AP502" s="95" t="str">
        <f aca="false">IF(AN502&lt;&gt;1,"",IF(INDEX($L:$L,502)&lt;&gt;"",INDEX($L:$L,502),TRIM(INDEX($D:$D,502)&amp;" "&amp;INDEX($C:$C,502))))</f>
        <v/>
      </c>
      <c r="AQ502" s="43" t="str">
        <f aca="false">IF(OR(AI502="",INDEX($I:$I,502)="Yes"),"",1)</f>
        <v/>
      </c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customFormat="false" ht="21.75" hidden="false" customHeight="true" outlineLevel="0" collapsed="false">
      <c r="A503" s="1"/>
      <c r="B503" s="113" t="str">
        <f aca="false">IF(AI503="","",COUNT($AI$7:AI503))</f>
        <v/>
      </c>
      <c r="C503" s="114"/>
      <c r="D503" s="114"/>
      <c r="E503" s="114"/>
      <c r="F503" s="114"/>
      <c r="G503" s="115"/>
      <c r="H503" s="115"/>
      <c r="I503" s="115"/>
      <c r="J503" s="115"/>
      <c r="K503" s="115"/>
      <c r="L503" s="114"/>
      <c r="M503" s="114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4"/>
      <c r="Y503" s="114"/>
      <c r="Z503" s="115"/>
      <c r="AA503" s="114"/>
      <c r="AB503" s="114"/>
      <c r="AC503" s="115"/>
      <c r="AD503" s="116"/>
      <c r="AE503" s="114"/>
      <c r="AF503" s="114"/>
      <c r="AG503" s="114"/>
      <c r="AH503" s="1"/>
      <c r="AI503" s="95" t="str">
        <f aca="false">IF(INDEX($C:$C,503)&amp;INDEX($D:$D,503)="","",1)</f>
        <v/>
      </c>
      <c r="AJ503" s="95" t="str">
        <f aca="false">IF(OR(AI503="",INDEX($Z:$Z,503)="",INDEX($U:$U,503)="Declined"),"",1)</f>
        <v/>
      </c>
      <c r="AK503" s="95" t="str">
        <f aca="false">IF(AJ503="","",INDEX($Z:$Z,503)&amp;"-"&amp;COUNTIFS($Z$7:Z503,INDEX($Z:$Z,503),$AJ$7:AJ503,1))</f>
        <v/>
      </c>
      <c r="AL503" s="43" t="str">
        <f aca="false">IF(AI503="","",TRIM(INDEX($D:$D,503)&amp;" "&amp;INDEX($C:$C,503))&amp;IF(INDEX($I:$I,503)="Yes"," (child)",""))</f>
        <v/>
      </c>
      <c r="AM503" s="95" t="str">
        <f aca="false">IF(OR(AI503="",INDEX($X:$X,503)="",INDEX($U:$U,503)="Declined"),"",COUNTIFS($X$7:X503,"?*",$U$7:U503,"&lt;&gt;Declined",$AI$7:AI503,1))</f>
        <v/>
      </c>
      <c r="AN503" s="95" t="str">
        <f aca="false">IF(AI503="","",IF(INDEX($L:$L,503)="",1,IF(COUNTIF($L$7:L503,INDEX($L:$L,503))=1,1,"")))</f>
        <v/>
      </c>
      <c r="AO503" s="95" t="str">
        <f aca="false">IF(AN503&lt;&gt;1,"",IF(INDEX($L:$L,503)="",IF(INDEX($S:$S,503)="Yes",1,""),IF(COUNTIFS($L$7:$L$506,INDEX($L:$L,503),$S$7:$S$506,"Yes")&gt;0,1,"")))</f>
        <v/>
      </c>
      <c r="AP503" s="95" t="str">
        <f aca="false">IF(AN503&lt;&gt;1,"",IF(INDEX($L:$L,503)&lt;&gt;"",INDEX($L:$L,503),TRIM(INDEX($D:$D,503)&amp;" "&amp;INDEX($C:$C,503))))</f>
        <v/>
      </c>
      <c r="AQ503" s="43" t="str">
        <f aca="false">IF(OR(AI503="",INDEX($I:$I,503)="Yes"),"",1)</f>
        <v/>
      </c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customFormat="false" ht="21.75" hidden="false" customHeight="true" outlineLevel="0" collapsed="false">
      <c r="A504" s="1"/>
      <c r="B504" s="113" t="str">
        <f aca="false">IF(AI504="","",COUNT($AI$7:AI504))</f>
        <v/>
      </c>
      <c r="C504" s="114"/>
      <c r="D504" s="114"/>
      <c r="E504" s="114"/>
      <c r="F504" s="114"/>
      <c r="G504" s="115"/>
      <c r="H504" s="115"/>
      <c r="I504" s="115"/>
      <c r="J504" s="115"/>
      <c r="K504" s="115"/>
      <c r="L504" s="114"/>
      <c r="M504" s="114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4"/>
      <c r="Y504" s="114"/>
      <c r="Z504" s="115"/>
      <c r="AA504" s="114"/>
      <c r="AB504" s="114"/>
      <c r="AC504" s="115"/>
      <c r="AD504" s="116"/>
      <c r="AE504" s="114"/>
      <c r="AF504" s="114"/>
      <c r="AG504" s="114"/>
      <c r="AH504" s="1"/>
      <c r="AI504" s="95" t="str">
        <f aca="false">IF(INDEX($C:$C,504)&amp;INDEX($D:$D,504)="","",1)</f>
        <v/>
      </c>
      <c r="AJ504" s="95" t="str">
        <f aca="false">IF(OR(AI504="",INDEX($Z:$Z,504)="",INDEX($U:$U,504)="Declined"),"",1)</f>
        <v/>
      </c>
      <c r="AK504" s="95" t="str">
        <f aca="false">IF(AJ504="","",INDEX($Z:$Z,504)&amp;"-"&amp;COUNTIFS($Z$7:Z504,INDEX($Z:$Z,504),$AJ$7:AJ504,1))</f>
        <v/>
      </c>
      <c r="AL504" s="43" t="str">
        <f aca="false">IF(AI504="","",TRIM(INDEX($D:$D,504)&amp;" "&amp;INDEX($C:$C,504))&amp;IF(INDEX($I:$I,504)="Yes"," (child)",""))</f>
        <v/>
      </c>
      <c r="AM504" s="95" t="str">
        <f aca="false">IF(OR(AI504="",INDEX($X:$X,504)="",INDEX($U:$U,504)="Declined"),"",COUNTIFS($X$7:X504,"?*",$U$7:U504,"&lt;&gt;Declined",$AI$7:AI504,1))</f>
        <v/>
      </c>
      <c r="AN504" s="95" t="str">
        <f aca="false">IF(AI504="","",IF(INDEX($L:$L,504)="",1,IF(COUNTIF($L$7:L504,INDEX($L:$L,504))=1,1,"")))</f>
        <v/>
      </c>
      <c r="AO504" s="95" t="str">
        <f aca="false">IF(AN504&lt;&gt;1,"",IF(INDEX($L:$L,504)="",IF(INDEX($S:$S,504)="Yes",1,""),IF(COUNTIFS($L$7:$L$506,INDEX($L:$L,504),$S$7:$S$506,"Yes")&gt;0,1,"")))</f>
        <v/>
      </c>
      <c r="AP504" s="95" t="str">
        <f aca="false">IF(AN504&lt;&gt;1,"",IF(INDEX($L:$L,504)&lt;&gt;"",INDEX($L:$L,504),TRIM(INDEX($D:$D,504)&amp;" "&amp;INDEX($C:$C,504))))</f>
        <v/>
      </c>
      <c r="AQ504" s="43" t="str">
        <f aca="false">IF(OR(AI504="",INDEX($I:$I,504)="Yes"),"",1)</f>
        <v/>
      </c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customFormat="false" ht="21.75" hidden="false" customHeight="true" outlineLevel="0" collapsed="false">
      <c r="A505" s="1"/>
      <c r="B505" s="113" t="str">
        <f aca="false">IF(AI505="","",COUNT($AI$7:AI505))</f>
        <v/>
      </c>
      <c r="C505" s="114"/>
      <c r="D505" s="114"/>
      <c r="E505" s="114"/>
      <c r="F505" s="114"/>
      <c r="G505" s="115"/>
      <c r="H505" s="115"/>
      <c r="I505" s="115"/>
      <c r="J505" s="115"/>
      <c r="K505" s="115"/>
      <c r="L505" s="114"/>
      <c r="M505" s="114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4"/>
      <c r="Y505" s="114"/>
      <c r="Z505" s="115"/>
      <c r="AA505" s="114"/>
      <c r="AB505" s="114"/>
      <c r="AC505" s="115"/>
      <c r="AD505" s="116"/>
      <c r="AE505" s="114"/>
      <c r="AF505" s="114"/>
      <c r="AG505" s="114"/>
      <c r="AH505" s="1"/>
      <c r="AI505" s="95" t="str">
        <f aca="false">IF(INDEX($C:$C,505)&amp;INDEX($D:$D,505)="","",1)</f>
        <v/>
      </c>
      <c r="AJ505" s="95" t="str">
        <f aca="false">IF(OR(AI505="",INDEX($Z:$Z,505)="",INDEX($U:$U,505)="Declined"),"",1)</f>
        <v/>
      </c>
      <c r="AK505" s="95" t="str">
        <f aca="false">IF(AJ505="","",INDEX($Z:$Z,505)&amp;"-"&amp;COUNTIFS($Z$7:Z505,INDEX($Z:$Z,505),$AJ$7:AJ505,1))</f>
        <v/>
      </c>
      <c r="AL505" s="43" t="str">
        <f aca="false">IF(AI505="","",TRIM(INDEX($D:$D,505)&amp;" "&amp;INDEX($C:$C,505))&amp;IF(INDEX($I:$I,505)="Yes"," (child)",""))</f>
        <v/>
      </c>
      <c r="AM505" s="95" t="str">
        <f aca="false">IF(OR(AI505="",INDEX($X:$X,505)="",INDEX($U:$U,505)="Declined"),"",COUNTIFS($X$7:X505,"?*",$U$7:U505,"&lt;&gt;Declined",$AI$7:AI505,1))</f>
        <v/>
      </c>
      <c r="AN505" s="95" t="str">
        <f aca="false">IF(AI505="","",IF(INDEX($L:$L,505)="",1,IF(COUNTIF($L$7:L505,INDEX($L:$L,505))=1,1,"")))</f>
        <v/>
      </c>
      <c r="AO505" s="95" t="str">
        <f aca="false">IF(AN505&lt;&gt;1,"",IF(INDEX($L:$L,505)="",IF(INDEX($S:$S,505)="Yes",1,""),IF(COUNTIFS($L$7:$L$506,INDEX($L:$L,505),$S$7:$S$506,"Yes")&gt;0,1,"")))</f>
        <v/>
      </c>
      <c r="AP505" s="95" t="str">
        <f aca="false">IF(AN505&lt;&gt;1,"",IF(INDEX($L:$L,505)&lt;&gt;"",INDEX($L:$L,505),TRIM(INDEX($D:$D,505)&amp;" "&amp;INDEX($C:$C,505))))</f>
        <v/>
      </c>
      <c r="AQ505" s="43" t="str">
        <f aca="false">IF(OR(AI505="",INDEX($I:$I,505)="Yes"),"",1)</f>
        <v/>
      </c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customFormat="false" ht="21.75" hidden="false" customHeight="true" outlineLevel="0" collapsed="false">
      <c r="A506" s="1"/>
      <c r="B506" s="113" t="str">
        <f aca="false">IF(AI506="","",COUNT($AI$7:AI506))</f>
        <v/>
      </c>
      <c r="C506" s="114"/>
      <c r="D506" s="114"/>
      <c r="E506" s="114"/>
      <c r="F506" s="114"/>
      <c r="G506" s="115"/>
      <c r="H506" s="115"/>
      <c r="I506" s="115"/>
      <c r="J506" s="115"/>
      <c r="K506" s="115"/>
      <c r="L506" s="114"/>
      <c r="M506" s="114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4"/>
      <c r="Y506" s="114"/>
      <c r="Z506" s="115"/>
      <c r="AA506" s="114"/>
      <c r="AB506" s="114"/>
      <c r="AC506" s="115"/>
      <c r="AD506" s="116"/>
      <c r="AE506" s="114"/>
      <c r="AF506" s="114"/>
      <c r="AG506" s="114"/>
      <c r="AH506" s="1"/>
      <c r="AI506" s="95" t="str">
        <f aca="false">IF(INDEX($C:$C,506)&amp;INDEX($D:$D,506)="","",1)</f>
        <v/>
      </c>
      <c r="AJ506" s="95" t="str">
        <f aca="false">IF(OR(AI506="",INDEX($Z:$Z,506)="",INDEX($U:$U,506)="Declined"),"",1)</f>
        <v/>
      </c>
      <c r="AK506" s="95" t="str">
        <f aca="false">IF(AJ506="","",INDEX($Z:$Z,506)&amp;"-"&amp;COUNTIFS($Z$7:Z506,INDEX($Z:$Z,506),$AJ$7:AJ506,1))</f>
        <v/>
      </c>
      <c r="AL506" s="43" t="str">
        <f aca="false">IF(AI506="","",TRIM(INDEX($D:$D,506)&amp;" "&amp;INDEX($C:$C,506))&amp;IF(INDEX($I:$I,506)="Yes"," (child)",""))</f>
        <v/>
      </c>
      <c r="AM506" s="95" t="str">
        <f aca="false">IF(OR(AI506="",INDEX($X:$X,506)="",INDEX($U:$U,506)="Declined"),"",COUNTIFS($X$7:X506,"?*",$U$7:U506,"&lt;&gt;Declined",$AI$7:AI506,1))</f>
        <v/>
      </c>
      <c r="AN506" s="95" t="str">
        <f aca="false">IF(AI506="","",IF(INDEX($L:$L,506)="",1,IF(COUNTIF($L$7:L506,INDEX($L:$L,506))=1,1,"")))</f>
        <v/>
      </c>
      <c r="AO506" s="95" t="str">
        <f aca="false">IF(AN506&lt;&gt;1,"",IF(INDEX($L:$L,506)="",IF(INDEX($S:$S,506)="Yes",1,""),IF(COUNTIFS($L$7:$L$506,INDEX($L:$L,506),$S$7:$S$506,"Yes")&gt;0,1,"")))</f>
        <v/>
      </c>
      <c r="AP506" s="95" t="str">
        <f aca="false">IF(AN506&lt;&gt;1,"",IF(INDEX($L:$L,506)&lt;&gt;"",INDEX($L:$L,506),TRIM(INDEX($D:$D,506)&amp;" "&amp;INDEX($C:$C,506))))</f>
        <v/>
      </c>
      <c r="AQ506" s="43" t="str">
        <f aca="false">IF(OR(AI506="",INDEX($I:$I,506)="Yes"),"",1)</f>
        <v/>
      </c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customFormat="false" ht="15" hidden="false" customHeight="fals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customFormat="false" ht="15" hidden="false" customHeight="fals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customFormat="false" ht="15" hidden="false" customHeight="fals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customFormat="false" ht="15" hidden="false" customHeight="fals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customFormat="false" ht="15" hidden="false" customHeight="fals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customFormat="false" ht="15" hidden="false" customHeight="fals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customFormat="false" ht="15" hidden="false" customHeight="fals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customFormat="false" ht="15" hidden="false" customHeight="fals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customFormat="false" ht="15" hidden="false" customHeight="fals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customFormat="false" ht="15" hidden="false" customHeight="fals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customFormat="false" ht="15" hidden="false" customHeight="fals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customFormat="false" ht="15" hidden="false" customHeight="fals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customFormat="false" ht="15" hidden="false" customHeight="fals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customFormat="false" ht="15" hidden="false" customHeight="fals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customFormat="false" ht="15" hidden="false" customHeight="fals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customFormat="false" ht="15" hidden="false" customHeight="fals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customFormat="false" ht="15" hidden="false" customHeight="fals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customFormat="false" ht="15" hidden="false" customHeight="fals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customFormat="false" ht="15" hidden="false" customHeight="fals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customFormat="false" ht="15" hidden="false" customHeight="fals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customFormat="false" ht="15" hidden="false" customHeight="fals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customFormat="false" ht="15" hidden="false" customHeight="fals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customFormat="false" ht="15" hidden="false" customHeight="fals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customFormat="false" ht="15" hidden="false" customHeight="fals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customFormat="false" ht="15" hidden="false" customHeight="fals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customFormat="false" ht="15" hidden="false" customHeight="fals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customFormat="false" ht="15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customFormat="false" ht="15" hidden="false" customHeight="fals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customFormat="false" ht="15" hidden="false" customHeight="fals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customFormat="false" ht="15" hidden="false" customHeight="fals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customFormat="false" ht="15" hidden="false" customHeight="fals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customFormat="false" ht="15" hidden="false" customHeight="fals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customFormat="false" ht="15" hidden="false" customHeight="fals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customFormat="false" ht="15" hidden="false" customHeight="fals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customFormat="false" ht="15" hidden="false" customHeight="fals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customFormat="false" ht="15" hidden="false" customHeight="fals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customFormat="false" ht="15" hidden="false" customHeight="fals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customFormat="false" ht="15" hidden="false" customHeight="fals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customFormat="false" ht="15" hidden="false" customHeight="fals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customFormat="false" ht="15" hidden="false" customHeight="fals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</sheetData>
  <sheetProtection sheet="true" password="f717" objects="true" scenarios="true" formatCells="false" formatColumns="false" formatRows="false" insertHyperlinks="false"/>
  <mergeCells count="4536">
    <mergeCell ref="B1:D3"/>
    <mergeCell ref="F1:I1"/>
    <mergeCell ref="K1:N1"/>
    <mergeCell ref="P1:S1"/>
    <mergeCell ref="U1:X1"/>
    <mergeCell ref="Z1:AA1"/>
    <mergeCell ref="AB1:AG3"/>
    <mergeCell ref="F2:G2"/>
    <mergeCell ref="H2:I2"/>
    <mergeCell ref="K2:L2"/>
    <mergeCell ref="M2:N2"/>
    <mergeCell ref="P2:Q2"/>
    <mergeCell ref="R2:S2"/>
    <mergeCell ref="U2:V2"/>
    <mergeCell ref="W2:X2"/>
    <mergeCell ref="Z2:AA2"/>
    <mergeCell ref="F3:G3"/>
    <mergeCell ref="H3:I3"/>
    <mergeCell ref="K3:L3"/>
    <mergeCell ref="M3:N3"/>
    <mergeCell ref="P3:Q3"/>
    <mergeCell ref="R3:S3"/>
    <mergeCell ref="U3:V3"/>
    <mergeCell ref="W3:X3"/>
    <mergeCell ref="Z3:AA3"/>
    <mergeCell ref="AE4:AG4"/>
    <mergeCell ref="B5:AG5"/>
    <mergeCell ref="D6:F6"/>
    <mergeCell ref="I6:K6"/>
    <mergeCell ref="L6:M6"/>
    <mergeCell ref="N6:P6"/>
    <mergeCell ref="Q6:R6"/>
    <mergeCell ref="S6:T6"/>
    <mergeCell ref="V6:W6"/>
    <mergeCell ref="X6:Y6"/>
    <mergeCell ref="AA6:AB6"/>
    <mergeCell ref="D7:F7"/>
    <mergeCell ref="I7:K7"/>
    <mergeCell ref="L7:M7"/>
    <mergeCell ref="N7:P7"/>
    <mergeCell ref="Q7:R7"/>
    <mergeCell ref="S7:T7"/>
    <mergeCell ref="V7:W7"/>
    <mergeCell ref="X7:Y7"/>
    <mergeCell ref="AA7:AB7"/>
    <mergeCell ref="D8:F8"/>
    <mergeCell ref="I8:K8"/>
    <mergeCell ref="L8:M8"/>
    <mergeCell ref="N8:P8"/>
    <mergeCell ref="Q8:R8"/>
    <mergeCell ref="S8:T8"/>
    <mergeCell ref="V8:W8"/>
    <mergeCell ref="X8:Y8"/>
    <mergeCell ref="AA8:AB8"/>
    <mergeCell ref="D9:F9"/>
    <mergeCell ref="I9:K9"/>
    <mergeCell ref="L9:M9"/>
    <mergeCell ref="N9:P9"/>
    <mergeCell ref="Q9:R9"/>
    <mergeCell ref="S9:T9"/>
    <mergeCell ref="V9:W9"/>
    <mergeCell ref="X9:Y9"/>
    <mergeCell ref="AA9:AB9"/>
    <mergeCell ref="D10:F10"/>
    <mergeCell ref="I10:K10"/>
    <mergeCell ref="L10:M10"/>
    <mergeCell ref="N10:P10"/>
    <mergeCell ref="Q10:R10"/>
    <mergeCell ref="S10:T10"/>
    <mergeCell ref="V10:W10"/>
    <mergeCell ref="X10:Y10"/>
    <mergeCell ref="AA10:AB10"/>
    <mergeCell ref="D11:F11"/>
    <mergeCell ref="I11:K11"/>
    <mergeCell ref="L11:M11"/>
    <mergeCell ref="N11:P11"/>
    <mergeCell ref="Q11:R11"/>
    <mergeCell ref="S11:T11"/>
    <mergeCell ref="V11:W11"/>
    <mergeCell ref="X11:Y11"/>
    <mergeCell ref="AA11:AB11"/>
    <mergeCell ref="D12:F12"/>
    <mergeCell ref="I12:K12"/>
    <mergeCell ref="L12:M12"/>
    <mergeCell ref="N12:P12"/>
    <mergeCell ref="Q12:R12"/>
    <mergeCell ref="S12:T12"/>
    <mergeCell ref="V12:W12"/>
    <mergeCell ref="X12:Y12"/>
    <mergeCell ref="AA12:AB12"/>
    <mergeCell ref="D13:F13"/>
    <mergeCell ref="I13:K13"/>
    <mergeCell ref="L13:M13"/>
    <mergeCell ref="N13:P13"/>
    <mergeCell ref="Q13:R13"/>
    <mergeCell ref="S13:T13"/>
    <mergeCell ref="V13:W13"/>
    <mergeCell ref="X13:Y13"/>
    <mergeCell ref="AA13:AB13"/>
    <mergeCell ref="D14:F14"/>
    <mergeCell ref="I14:K14"/>
    <mergeCell ref="L14:M14"/>
    <mergeCell ref="N14:P14"/>
    <mergeCell ref="Q14:R14"/>
    <mergeCell ref="S14:T14"/>
    <mergeCell ref="V14:W14"/>
    <mergeCell ref="X14:Y14"/>
    <mergeCell ref="AA14:AB14"/>
    <mergeCell ref="D15:F15"/>
    <mergeCell ref="I15:K15"/>
    <mergeCell ref="L15:M15"/>
    <mergeCell ref="N15:P15"/>
    <mergeCell ref="Q15:R15"/>
    <mergeCell ref="S15:T15"/>
    <mergeCell ref="V15:W15"/>
    <mergeCell ref="X15:Y15"/>
    <mergeCell ref="AA15:AB15"/>
    <mergeCell ref="D16:F16"/>
    <mergeCell ref="I16:K16"/>
    <mergeCell ref="L16:M16"/>
    <mergeCell ref="N16:P16"/>
    <mergeCell ref="Q16:R16"/>
    <mergeCell ref="S16:T16"/>
    <mergeCell ref="V16:W16"/>
    <mergeCell ref="X16:Y16"/>
    <mergeCell ref="AA16:AB16"/>
    <mergeCell ref="D17:F17"/>
    <mergeCell ref="I17:K17"/>
    <mergeCell ref="L17:M17"/>
    <mergeCell ref="N17:P17"/>
    <mergeCell ref="Q17:R17"/>
    <mergeCell ref="S17:T17"/>
    <mergeCell ref="V17:W17"/>
    <mergeCell ref="X17:Y17"/>
    <mergeCell ref="AA17:AB17"/>
    <mergeCell ref="D18:F18"/>
    <mergeCell ref="I18:K18"/>
    <mergeCell ref="L18:M18"/>
    <mergeCell ref="N18:P18"/>
    <mergeCell ref="Q18:R18"/>
    <mergeCell ref="S18:T18"/>
    <mergeCell ref="V18:W18"/>
    <mergeCell ref="X18:Y18"/>
    <mergeCell ref="AA18:AB18"/>
    <mergeCell ref="D19:F19"/>
    <mergeCell ref="I19:K19"/>
    <mergeCell ref="L19:M19"/>
    <mergeCell ref="N19:P19"/>
    <mergeCell ref="Q19:R19"/>
    <mergeCell ref="S19:T19"/>
    <mergeCell ref="V19:W19"/>
    <mergeCell ref="X19:Y19"/>
    <mergeCell ref="AA19:AB19"/>
    <mergeCell ref="D20:F20"/>
    <mergeCell ref="I20:K20"/>
    <mergeCell ref="L20:M20"/>
    <mergeCell ref="N20:P20"/>
    <mergeCell ref="Q20:R20"/>
    <mergeCell ref="S20:T20"/>
    <mergeCell ref="V20:W20"/>
    <mergeCell ref="X20:Y20"/>
    <mergeCell ref="AA20:AB20"/>
    <mergeCell ref="D21:F21"/>
    <mergeCell ref="I21:K21"/>
    <mergeCell ref="L21:M21"/>
    <mergeCell ref="N21:P21"/>
    <mergeCell ref="Q21:R21"/>
    <mergeCell ref="S21:T21"/>
    <mergeCell ref="V21:W21"/>
    <mergeCell ref="X21:Y21"/>
    <mergeCell ref="AA21:AB21"/>
    <mergeCell ref="D22:F22"/>
    <mergeCell ref="I22:K22"/>
    <mergeCell ref="L22:M22"/>
    <mergeCell ref="N22:P22"/>
    <mergeCell ref="Q22:R22"/>
    <mergeCell ref="S22:T22"/>
    <mergeCell ref="V22:W22"/>
    <mergeCell ref="X22:Y22"/>
    <mergeCell ref="AA22:AB22"/>
    <mergeCell ref="D23:F23"/>
    <mergeCell ref="I23:K23"/>
    <mergeCell ref="L23:M23"/>
    <mergeCell ref="N23:P23"/>
    <mergeCell ref="Q23:R23"/>
    <mergeCell ref="S23:T23"/>
    <mergeCell ref="V23:W23"/>
    <mergeCell ref="X23:Y23"/>
    <mergeCell ref="AA23:AB23"/>
    <mergeCell ref="D24:F24"/>
    <mergeCell ref="I24:K24"/>
    <mergeCell ref="L24:M24"/>
    <mergeCell ref="N24:P24"/>
    <mergeCell ref="Q24:R24"/>
    <mergeCell ref="S24:T24"/>
    <mergeCell ref="V24:W24"/>
    <mergeCell ref="X24:Y24"/>
    <mergeCell ref="AA24:AB24"/>
    <mergeCell ref="D25:F25"/>
    <mergeCell ref="I25:K25"/>
    <mergeCell ref="L25:M25"/>
    <mergeCell ref="N25:P25"/>
    <mergeCell ref="Q25:R25"/>
    <mergeCell ref="S25:T25"/>
    <mergeCell ref="V25:W25"/>
    <mergeCell ref="X25:Y25"/>
    <mergeCell ref="AA25:AB25"/>
    <mergeCell ref="D26:F26"/>
    <mergeCell ref="I26:K26"/>
    <mergeCell ref="L26:M26"/>
    <mergeCell ref="N26:P26"/>
    <mergeCell ref="Q26:R26"/>
    <mergeCell ref="S26:T26"/>
    <mergeCell ref="V26:W26"/>
    <mergeCell ref="X26:Y26"/>
    <mergeCell ref="AA26:AB26"/>
    <mergeCell ref="D27:F27"/>
    <mergeCell ref="I27:K27"/>
    <mergeCell ref="L27:M27"/>
    <mergeCell ref="N27:P27"/>
    <mergeCell ref="Q27:R27"/>
    <mergeCell ref="S27:T27"/>
    <mergeCell ref="V27:W27"/>
    <mergeCell ref="X27:Y27"/>
    <mergeCell ref="AA27:AB27"/>
    <mergeCell ref="D28:F28"/>
    <mergeCell ref="I28:K28"/>
    <mergeCell ref="L28:M28"/>
    <mergeCell ref="N28:P28"/>
    <mergeCell ref="Q28:R28"/>
    <mergeCell ref="S28:T28"/>
    <mergeCell ref="V28:W28"/>
    <mergeCell ref="X28:Y28"/>
    <mergeCell ref="AA28:AB28"/>
    <mergeCell ref="D29:F29"/>
    <mergeCell ref="I29:K29"/>
    <mergeCell ref="L29:M29"/>
    <mergeCell ref="N29:P29"/>
    <mergeCell ref="Q29:R29"/>
    <mergeCell ref="S29:T29"/>
    <mergeCell ref="V29:W29"/>
    <mergeCell ref="X29:Y29"/>
    <mergeCell ref="AA29:AB29"/>
    <mergeCell ref="D30:F30"/>
    <mergeCell ref="I30:K30"/>
    <mergeCell ref="L30:M30"/>
    <mergeCell ref="N30:P30"/>
    <mergeCell ref="Q30:R30"/>
    <mergeCell ref="S30:T30"/>
    <mergeCell ref="V30:W30"/>
    <mergeCell ref="X30:Y30"/>
    <mergeCell ref="AA30:AB30"/>
    <mergeCell ref="D31:F31"/>
    <mergeCell ref="I31:K31"/>
    <mergeCell ref="L31:M31"/>
    <mergeCell ref="N31:P31"/>
    <mergeCell ref="Q31:R31"/>
    <mergeCell ref="S31:T31"/>
    <mergeCell ref="V31:W31"/>
    <mergeCell ref="X31:Y31"/>
    <mergeCell ref="AA31:AB31"/>
    <mergeCell ref="D32:F32"/>
    <mergeCell ref="I32:K32"/>
    <mergeCell ref="L32:M32"/>
    <mergeCell ref="N32:P32"/>
    <mergeCell ref="Q32:R32"/>
    <mergeCell ref="S32:T32"/>
    <mergeCell ref="V32:W32"/>
    <mergeCell ref="X32:Y32"/>
    <mergeCell ref="AA32:AB32"/>
    <mergeCell ref="D33:F33"/>
    <mergeCell ref="I33:K33"/>
    <mergeCell ref="L33:M33"/>
    <mergeCell ref="N33:P33"/>
    <mergeCell ref="Q33:R33"/>
    <mergeCell ref="S33:T33"/>
    <mergeCell ref="V33:W33"/>
    <mergeCell ref="X33:Y33"/>
    <mergeCell ref="AA33:AB33"/>
    <mergeCell ref="D34:F34"/>
    <mergeCell ref="I34:K34"/>
    <mergeCell ref="L34:M34"/>
    <mergeCell ref="N34:P34"/>
    <mergeCell ref="Q34:R34"/>
    <mergeCell ref="S34:T34"/>
    <mergeCell ref="V34:W34"/>
    <mergeCell ref="X34:Y34"/>
    <mergeCell ref="AA34:AB34"/>
    <mergeCell ref="D35:F35"/>
    <mergeCell ref="I35:K35"/>
    <mergeCell ref="L35:M35"/>
    <mergeCell ref="N35:P35"/>
    <mergeCell ref="Q35:R35"/>
    <mergeCell ref="S35:T35"/>
    <mergeCell ref="V35:W35"/>
    <mergeCell ref="X35:Y35"/>
    <mergeCell ref="AA35:AB35"/>
    <mergeCell ref="D36:F36"/>
    <mergeCell ref="I36:K36"/>
    <mergeCell ref="L36:M36"/>
    <mergeCell ref="N36:P36"/>
    <mergeCell ref="Q36:R36"/>
    <mergeCell ref="S36:T36"/>
    <mergeCell ref="V36:W36"/>
    <mergeCell ref="X36:Y36"/>
    <mergeCell ref="AA36:AB36"/>
    <mergeCell ref="D37:F37"/>
    <mergeCell ref="I37:K37"/>
    <mergeCell ref="L37:M37"/>
    <mergeCell ref="N37:P37"/>
    <mergeCell ref="Q37:R37"/>
    <mergeCell ref="S37:T37"/>
    <mergeCell ref="V37:W37"/>
    <mergeCell ref="X37:Y37"/>
    <mergeCell ref="AA37:AB37"/>
    <mergeCell ref="D38:F38"/>
    <mergeCell ref="I38:K38"/>
    <mergeCell ref="L38:M38"/>
    <mergeCell ref="N38:P38"/>
    <mergeCell ref="Q38:R38"/>
    <mergeCell ref="S38:T38"/>
    <mergeCell ref="V38:W38"/>
    <mergeCell ref="X38:Y38"/>
    <mergeCell ref="AA38:AB38"/>
    <mergeCell ref="D39:F39"/>
    <mergeCell ref="I39:K39"/>
    <mergeCell ref="L39:M39"/>
    <mergeCell ref="N39:P39"/>
    <mergeCell ref="Q39:R39"/>
    <mergeCell ref="S39:T39"/>
    <mergeCell ref="V39:W39"/>
    <mergeCell ref="X39:Y39"/>
    <mergeCell ref="AA39:AB39"/>
    <mergeCell ref="D40:F40"/>
    <mergeCell ref="I40:K40"/>
    <mergeCell ref="L40:M40"/>
    <mergeCell ref="N40:P40"/>
    <mergeCell ref="Q40:R40"/>
    <mergeCell ref="S40:T40"/>
    <mergeCell ref="V40:W40"/>
    <mergeCell ref="X40:Y40"/>
    <mergeCell ref="AA40:AB40"/>
    <mergeCell ref="D41:F41"/>
    <mergeCell ref="I41:K41"/>
    <mergeCell ref="L41:M41"/>
    <mergeCell ref="N41:P41"/>
    <mergeCell ref="Q41:R41"/>
    <mergeCell ref="S41:T41"/>
    <mergeCell ref="V41:W41"/>
    <mergeCell ref="X41:Y41"/>
    <mergeCell ref="AA41:AB41"/>
    <mergeCell ref="D42:F42"/>
    <mergeCell ref="I42:K42"/>
    <mergeCell ref="L42:M42"/>
    <mergeCell ref="N42:P42"/>
    <mergeCell ref="Q42:R42"/>
    <mergeCell ref="S42:T42"/>
    <mergeCell ref="V42:W42"/>
    <mergeCell ref="X42:Y42"/>
    <mergeCell ref="AA42:AB42"/>
    <mergeCell ref="D43:F43"/>
    <mergeCell ref="I43:K43"/>
    <mergeCell ref="L43:M43"/>
    <mergeCell ref="N43:P43"/>
    <mergeCell ref="Q43:R43"/>
    <mergeCell ref="S43:T43"/>
    <mergeCell ref="V43:W43"/>
    <mergeCell ref="X43:Y43"/>
    <mergeCell ref="AA43:AB43"/>
    <mergeCell ref="D44:F44"/>
    <mergeCell ref="I44:K44"/>
    <mergeCell ref="L44:M44"/>
    <mergeCell ref="N44:P44"/>
    <mergeCell ref="Q44:R44"/>
    <mergeCell ref="S44:T44"/>
    <mergeCell ref="V44:W44"/>
    <mergeCell ref="X44:Y44"/>
    <mergeCell ref="AA44:AB44"/>
    <mergeCell ref="D45:F45"/>
    <mergeCell ref="I45:K45"/>
    <mergeCell ref="L45:M45"/>
    <mergeCell ref="N45:P45"/>
    <mergeCell ref="Q45:R45"/>
    <mergeCell ref="S45:T45"/>
    <mergeCell ref="V45:W45"/>
    <mergeCell ref="X45:Y45"/>
    <mergeCell ref="AA45:AB45"/>
    <mergeCell ref="D46:F46"/>
    <mergeCell ref="I46:K46"/>
    <mergeCell ref="L46:M46"/>
    <mergeCell ref="N46:P46"/>
    <mergeCell ref="Q46:R46"/>
    <mergeCell ref="S46:T46"/>
    <mergeCell ref="V46:W46"/>
    <mergeCell ref="X46:Y46"/>
    <mergeCell ref="AA46:AB46"/>
    <mergeCell ref="D47:F47"/>
    <mergeCell ref="I47:K47"/>
    <mergeCell ref="L47:M47"/>
    <mergeCell ref="N47:P47"/>
    <mergeCell ref="Q47:R47"/>
    <mergeCell ref="S47:T47"/>
    <mergeCell ref="V47:W47"/>
    <mergeCell ref="X47:Y47"/>
    <mergeCell ref="AA47:AB47"/>
    <mergeCell ref="D48:F48"/>
    <mergeCell ref="I48:K48"/>
    <mergeCell ref="L48:M48"/>
    <mergeCell ref="N48:P48"/>
    <mergeCell ref="Q48:R48"/>
    <mergeCell ref="S48:T48"/>
    <mergeCell ref="V48:W48"/>
    <mergeCell ref="X48:Y48"/>
    <mergeCell ref="AA48:AB48"/>
    <mergeCell ref="D49:F49"/>
    <mergeCell ref="I49:K49"/>
    <mergeCell ref="L49:M49"/>
    <mergeCell ref="N49:P49"/>
    <mergeCell ref="Q49:R49"/>
    <mergeCell ref="S49:T49"/>
    <mergeCell ref="V49:W49"/>
    <mergeCell ref="X49:Y49"/>
    <mergeCell ref="AA49:AB49"/>
    <mergeCell ref="D50:F50"/>
    <mergeCell ref="I50:K50"/>
    <mergeCell ref="L50:M50"/>
    <mergeCell ref="N50:P50"/>
    <mergeCell ref="Q50:R50"/>
    <mergeCell ref="S50:T50"/>
    <mergeCell ref="V50:W50"/>
    <mergeCell ref="X50:Y50"/>
    <mergeCell ref="AA50:AB50"/>
    <mergeCell ref="D51:F51"/>
    <mergeCell ref="I51:K51"/>
    <mergeCell ref="L51:M51"/>
    <mergeCell ref="N51:P51"/>
    <mergeCell ref="Q51:R51"/>
    <mergeCell ref="S51:T51"/>
    <mergeCell ref="V51:W51"/>
    <mergeCell ref="X51:Y51"/>
    <mergeCell ref="AA51:AB51"/>
    <mergeCell ref="D52:F52"/>
    <mergeCell ref="I52:K52"/>
    <mergeCell ref="L52:M52"/>
    <mergeCell ref="N52:P52"/>
    <mergeCell ref="Q52:R52"/>
    <mergeCell ref="S52:T52"/>
    <mergeCell ref="V52:W52"/>
    <mergeCell ref="X52:Y52"/>
    <mergeCell ref="AA52:AB52"/>
    <mergeCell ref="D53:F53"/>
    <mergeCell ref="I53:K53"/>
    <mergeCell ref="L53:M53"/>
    <mergeCell ref="N53:P53"/>
    <mergeCell ref="Q53:R53"/>
    <mergeCell ref="S53:T53"/>
    <mergeCell ref="V53:W53"/>
    <mergeCell ref="X53:Y53"/>
    <mergeCell ref="AA53:AB53"/>
    <mergeCell ref="D54:F54"/>
    <mergeCell ref="I54:K54"/>
    <mergeCell ref="L54:M54"/>
    <mergeCell ref="N54:P54"/>
    <mergeCell ref="Q54:R54"/>
    <mergeCell ref="S54:T54"/>
    <mergeCell ref="V54:W54"/>
    <mergeCell ref="X54:Y54"/>
    <mergeCell ref="AA54:AB54"/>
    <mergeCell ref="D55:F55"/>
    <mergeCell ref="I55:K55"/>
    <mergeCell ref="L55:M55"/>
    <mergeCell ref="N55:P55"/>
    <mergeCell ref="Q55:R55"/>
    <mergeCell ref="S55:T55"/>
    <mergeCell ref="V55:W55"/>
    <mergeCell ref="X55:Y55"/>
    <mergeCell ref="AA55:AB55"/>
    <mergeCell ref="D56:F56"/>
    <mergeCell ref="I56:K56"/>
    <mergeCell ref="L56:M56"/>
    <mergeCell ref="N56:P56"/>
    <mergeCell ref="Q56:R56"/>
    <mergeCell ref="S56:T56"/>
    <mergeCell ref="V56:W56"/>
    <mergeCell ref="X56:Y56"/>
    <mergeCell ref="AA56:AB56"/>
    <mergeCell ref="D57:F57"/>
    <mergeCell ref="I57:K57"/>
    <mergeCell ref="L57:M57"/>
    <mergeCell ref="N57:P57"/>
    <mergeCell ref="Q57:R57"/>
    <mergeCell ref="S57:T57"/>
    <mergeCell ref="V57:W57"/>
    <mergeCell ref="X57:Y57"/>
    <mergeCell ref="AA57:AB57"/>
    <mergeCell ref="D58:F58"/>
    <mergeCell ref="I58:K58"/>
    <mergeCell ref="L58:M58"/>
    <mergeCell ref="N58:P58"/>
    <mergeCell ref="Q58:R58"/>
    <mergeCell ref="S58:T58"/>
    <mergeCell ref="V58:W58"/>
    <mergeCell ref="X58:Y58"/>
    <mergeCell ref="AA58:AB58"/>
    <mergeCell ref="D59:F59"/>
    <mergeCell ref="I59:K59"/>
    <mergeCell ref="L59:M59"/>
    <mergeCell ref="N59:P59"/>
    <mergeCell ref="Q59:R59"/>
    <mergeCell ref="S59:T59"/>
    <mergeCell ref="V59:W59"/>
    <mergeCell ref="X59:Y59"/>
    <mergeCell ref="AA59:AB59"/>
    <mergeCell ref="D60:F60"/>
    <mergeCell ref="I60:K60"/>
    <mergeCell ref="L60:M60"/>
    <mergeCell ref="N60:P60"/>
    <mergeCell ref="Q60:R60"/>
    <mergeCell ref="S60:T60"/>
    <mergeCell ref="V60:W60"/>
    <mergeCell ref="X60:Y60"/>
    <mergeCell ref="AA60:AB60"/>
    <mergeCell ref="D61:F61"/>
    <mergeCell ref="I61:K61"/>
    <mergeCell ref="L61:M61"/>
    <mergeCell ref="N61:P61"/>
    <mergeCell ref="Q61:R61"/>
    <mergeCell ref="S61:T61"/>
    <mergeCell ref="V61:W61"/>
    <mergeCell ref="X61:Y61"/>
    <mergeCell ref="AA61:AB61"/>
    <mergeCell ref="D62:F62"/>
    <mergeCell ref="I62:K62"/>
    <mergeCell ref="L62:M62"/>
    <mergeCell ref="N62:P62"/>
    <mergeCell ref="Q62:R62"/>
    <mergeCell ref="S62:T62"/>
    <mergeCell ref="V62:W62"/>
    <mergeCell ref="X62:Y62"/>
    <mergeCell ref="AA62:AB62"/>
    <mergeCell ref="D63:F63"/>
    <mergeCell ref="I63:K63"/>
    <mergeCell ref="L63:M63"/>
    <mergeCell ref="N63:P63"/>
    <mergeCell ref="Q63:R63"/>
    <mergeCell ref="S63:T63"/>
    <mergeCell ref="V63:W63"/>
    <mergeCell ref="X63:Y63"/>
    <mergeCell ref="AA63:AB63"/>
    <mergeCell ref="D64:F64"/>
    <mergeCell ref="I64:K64"/>
    <mergeCell ref="L64:M64"/>
    <mergeCell ref="N64:P64"/>
    <mergeCell ref="Q64:R64"/>
    <mergeCell ref="S64:T64"/>
    <mergeCell ref="V64:W64"/>
    <mergeCell ref="X64:Y64"/>
    <mergeCell ref="AA64:AB64"/>
    <mergeCell ref="D65:F65"/>
    <mergeCell ref="I65:K65"/>
    <mergeCell ref="L65:M65"/>
    <mergeCell ref="N65:P65"/>
    <mergeCell ref="Q65:R65"/>
    <mergeCell ref="S65:T65"/>
    <mergeCell ref="V65:W65"/>
    <mergeCell ref="X65:Y65"/>
    <mergeCell ref="AA65:AB65"/>
    <mergeCell ref="D66:F66"/>
    <mergeCell ref="I66:K66"/>
    <mergeCell ref="L66:M66"/>
    <mergeCell ref="N66:P66"/>
    <mergeCell ref="Q66:R66"/>
    <mergeCell ref="S66:T66"/>
    <mergeCell ref="V66:W66"/>
    <mergeCell ref="X66:Y66"/>
    <mergeCell ref="AA66:AB66"/>
    <mergeCell ref="D67:F67"/>
    <mergeCell ref="I67:K67"/>
    <mergeCell ref="L67:M67"/>
    <mergeCell ref="N67:P67"/>
    <mergeCell ref="Q67:R67"/>
    <mergeCell ref="S67:T67"/>
    <mergeCell ref="V67:W67"/>
    <mergeCell ref="X67:Y67"/>
    <mergeCell ref="AA67:AB67"/>
    <mergeCell ref="D68:F68"/>
    <mergeCell ref="I68:K68"/>
    <mergeCell ref="L68:M68"/>
    <mergeCell ref="N68:P68"/>
    <mergeCell ref="Q68:R68"/>
    <mergeCell ref="S68:T68"/>
    <mergeCell ref="V68:W68"/>
    <mergeCell ref="X68:Y68"/>
    <mergeCell ref="AA68:AB68"/>
    <mergeCell ref="D69:F69"/>
    <mergeCell ref="I69:K69"/>
    <mergeCell ref="L69:M69"/>
    <mergeCell ref="N69:P69"/>
    <mergeCell ref="Q69:R69"/>
    <mergeCell ref="S69:T69"/>
    <mergeCell ref="V69:W69"/>
    <mergeCell ref="X69:Y69"/>
    <mergeCell ref="AA69:AB69"/>
    <mergeCell ref="D70:F70"/>
    <mergeCell ref="I70:K70"/>
    <mergeCell ref="L70:M70"/>
    <mergeCell ref="N70:P70"/>
    <mergeCell ref="Q70:R70"/>
    <mergeCell ref="S70:T70"/>
    <mergeCell ref="V70:W70"/>
    <mergeCell ref="X70:Y70"/>
    <mergeCell ref="AA70:AB70"/>
    <mergeCell ref="D71:F71"/>
    <mergeCell ref="I71:K71"/>
    <mergeCell ref="L71:M71"/>
    <mergeCell ref="N71:P71"/>
    <mergeCell ref="Q71:R71"/>
    <mergeCell ref="S71:T71"/>
    <mergeCell ref="V71:W71"/>
    <mergeCell ref="X71:Y71"/>
    <mergeCell ref="AA71:AB71"/>
    <mergeCell ref="D72:F72"/>
    <mergeCell ref="I72:K72"/>
    <mergeCell ref="L72:M72"/>
    <mergeCell ref="N72:P72"/>
    <mergeCell ref="Q72:R72"/>
    <mergeCell ref="S72:T72"/>
    <mergeCell ref="V72:W72"/>
    <mergeCell ref="X72:Y72"/>
    <mergeCell ref="AA72:AB72"/>
    <mergeCell ref="D73:F73"/>
    <mergeCell ref="I73:K73"/>
    <mergeCell ref="L73:M73"/>
    <mergeCell ref="N73:P73"/>
    <mergeCell ref="Q73:R73"/>
    <mergeCell ref="S73:T73"/>
    <mergeCell ref="V73:W73"/>
    <mergeCell ref="X73:Y73"/>
    <mergeCell ref="AA73:AB73"/>
    <mergeCell ref="D74:F74"/>
    <mergeCell ref="I74:K74"/>
    <mergeCell ref="L74:M74"/>
    <mergeCell ref="N74:P74"/>
    <mergeCell ref="Q74:R74"/>
    <mergeCell ref="S74:T74"/>
    <mergeCell ref="V74:W74"/>
    <mergeCell ref="X74:Y74"/>
    <mergeCell ref="AA74:AB74"/>
    <mergeCell ref="D75:F75"/>
    <mergeCell ref="I75:K75"/>
    <mergeCell ref="L75:M75"/>
    <mergeCell ref="N75:P75"/>
    <mergeCell ref="Q75:R75"/>
    <mergeCell ref="S75:T75"/>
    <mergeCell ref="V75:W75"/>
    <mergeCell ref="X75:Y75"/>
    <mergeCell ref="AA75:AB75"/>
    <mergeCell ref="D76:F76"/>
    <mergeCell ref="I76:K76"/>
    <mergeCell ref="L76:M76"/>
    <mergeCell ref="N76:P76"/>
    <mergeCell ref="Q76:R76"/>
    <mergeCell ref="S76:T76"/>
    <mergeCell ref="V76:W76"/>
    <mergeCell ref="X76:Y76"/>
    <mergeCell ref="AA76:AB76"/>
    <mergeCell ref="D77:F77"/>
    <mergeCell ref="I77:K77"/>
    <mergeCell ref="L77:M77"/>
    <mergeCell ref="N77:P77"/>
    <mergeCell ref="Q77:R77"/>
    <mergeCell ref="S77:T77"/>
    <mergeCell ref="V77:W77"/>
    <mergeCell ref="X77:Y77"/>
    <mergeCell ref="AA77:AB77"/>
    <mergeCell ref="D78:F78"/>
    <mergeCell ref="I78:K78"/>
    <mergeCell ref="L78:M78"/>
    <mergeCell ref="N78:P78"/>
    <mergeCell ref="Q78:R78"/>
    <mergeCell ref="S78:T78"/>
    <mergeCell ref="V78:W78"/>
    <mergeCell ref="X78:Y78"/>
    <mergeCell ref="AA78:AB78"/>
    <mergeCell ref="D79:F79"/>
    <mergeCell ref="I79:K79"/>
    <mergeCell ref="L79:M79"/>
    <mergeCell ref="N79:P79"/>
    <mergeCell ref="Q79:R79"/>
    <mergeCell ref="S79:T79"/>
    <mergeCell ref="V79:W79"/>
    <mergeCell ref="X79:Y79"/>
    <mergeCell ref="AA79:AB79"/>
    <mergeCell ref="D80:F80"/>
    <mergeCell ref="I80:K80"/>
    <mergeCell ref="L80:M80"/>
    <mergeCell ref="N80:P80"/>
    <mergeCell ref="Q80:R80"/>
    <mergeCell ref="S80:T80"/>
    <mergeCell ref="V80:W80"/>
    <mergeCell ref="X80:Y80"/>
    <mergeCell ref="AA80:AB80"/>
    <mergeCell ref="D81:F81"/>
    <mergeCell ref="I81:K81"/>
    <mergeCell ref="L81:M81"/>
    <mergeCell ref="N81:P81"/>
    <mergeCell ref="Q81:R81"/>
    <mergeCell ref="S81:T81"/>
    <mergeCell ref="V81:W81"/>
    <mergeCell ref="X81:Y81"/>
    <mergeCell ref="AA81:AB81"/>
    <mergeCell ref="D82:F82"/>
    <mergeCell ref="I82:K82"/>
    <mergeCell ref="L82:M82"/>
    <mergeCell ref="N82:P82"/>
    <mergeCell ref="Q82:R82"/>
    <mergeCell ref="S82:T82"/>
    <mergeCell ref="V82:W82"/>
    <mergeCell ref="X82:Y82"/>
    <mergeCell ref="AA82:AB82"/>
    <mergeCell ref="D83:F83"/>
    <mergeCell ref="I83:K83"/>
    <mergeCell ref="L83:M83"/>
    <mergeCell ref="N83:P83"/>
    <mergeCell ref="Q83:R83"/>
    <mergeCell ref="S83:T83"/>
    <mergeCell ref="V83:W83"/>
    <mergeCell ref="X83:Y83"/>
    <mergeCell ref="AA83:AB83"/>
    <mergeCell ref="D84:F84"/>
    <mergeCell ref="I84:K84"/>
    <mergeCell ref="L84:M84"/>
    <mergeCell ref="N84:P84"/>
    <mergeCell ref="Q84:R84"/>
    <mergeCell ref="S84:T84"/>
    <mergeCell ref="V84:W84"/>
    <mergeCell ref="X84:Y84"/>
    <mergeCell ref="AA84:AB84"/>
    <mergeCell ref="D85:F85"/>
    <mergeCell ref="I85:K85"/>
    <mergeCell ref="L85:M85"/>
    <mergeCell ref="N85:P85"/>
    <mergeCell ref="Q85:R85"/>
    <mergeCell ref="S85:T85"/>
    <mergeCell ref="V85:W85"/>
    <mergeCell ref="X85:Y85"/>
    <mergeCell ref="AA85:AB85"/>
    <mergeCell ref="D86:F86"/>
    <mergeCell ref="I86:K86"/>
    <mergeCell ref="L86:M86"/>
    <mergeCell ref="N86:P86"/>
    <mergeCell ref="Q86:R86"/>
    <mergeCell ref="S86:T86"/>
    <mergeCell ref="V86:W86"/>
    <mergeCell ref="X86:Y86"/>
    <mergeCell ref="AA86:AB86"/>
    <mergeCell ref="D87:F87"/>
    <mergeCell ref="I87:K87"/>
    <mergeCell ref="L87:M87"/>
    <mergeCell ref="N87:P87"/>
    <mergeCell ref="Q87:R87"/>
    <mergeCell ref="S87:T87"/>
    <mergeCell ref="V87:W87"/>
    <mergeCell ref="X87:Y87"/>
    <mergeCell ref="AA87:AB87"/>
    <mergeCell ref="D88:F88"/>
    <mergeCell ref="I88:K88"/>
    <mergeCell ref="L88:M88"/>
    <mergeCell ref="N88:P88"/>
    <mergeCell ref="Q88:R88"/>
    <mergeCell ref="S88:T88"/>
    <mergeCell ref="V88:W88"/>
    <mergeCell ref="X88:Y88"/>
    <mergeCell ref="AA88:AB88"/>
    <mergeCell ref="D89:F89"/>
    <mergeCell ref="I89:K89"/>
    <mergeCell ref="L89:M89"/>
    <mergeCell ref="N89:P89"/>
    <mergeCell ref="Q89:R89"/>
    <mergeCell ref="S89:T89"/>
    <mergeCell ref="V89:W89"/>
    <mergeCell ref="X89:Y89"/>
    <mergeCell ref="AA89:AB89"/>
    <mergeCell ref="D90:F90"/>
    <mergeCell ref="I90:K90"/>
    <mergeCell ref="L90:M90"/>
    <mergeCell ref="N90:P90"/>
    <mergeCell ref="Q90:R90"/>
    <mergeCell ref="S90:T90"/>
    <mergeCell ref="V90:W90"/>
    <mergeCell ref="X90:Y90"/>
    <mergeCell ref="AA90:AB90"/>
    <mergeCell ref="D91:F91"/>
    <mergeCell ref="I91:K91"/>
    <mergeCell ref="L91:M91"/>
    <mergeCell ref="N91:P91"/>
    <mergeCell ref="Q91:R91"/>
    <mergeCell ref="S91:T91"/>
    <mergeCell ref="V91:W91"/>
    <mergeCell ref="X91:Y91"/>
    <mergeCell ref="AA91:AB91"/>
    <mergeCell ref="D92:F92"/>
    <mergeCell ref="I92:K92"/>
    <mergeCell ref="L92:M92"/>
    <mergeCell ref="N92:P92"/>
    <mergeCell ref="Q92:R92"/>
    <mergeCell ref="S92:T92"/>
    <mergeCell ref="V92:W92"/>
    <mergeCell ref="X92:Y92"/>
    <mergeCell ref="AA92:AB92"/>
    <mergeCell ref="D93:F93"/>
    <mergeCell ref="I93:K93"/>
    <mergeCell ref="L93:M93"/>
    <mergeCell ref="N93:P93"/>
    <mergeCell ref="Q93:R93"/>
    <mergeCell ref="S93:T93"/>
    <mergeCell ref="V93:W93"/>
    <mergeCell ref="X93:Y93"/>
    <mergeCell ref="AA93:AB93"/>
    <mergeCell ref="D94:F94"/>
    <mergeCell ref="I94:K94"/>
    <mergeCell ref="L94:M94"/>
    <mergeCell ref="N94:P94"/>
    <mergeCell ref="Q94:R94"/>
    <mergeCell ref="S94:T94"/>
    <mergeCell ref="V94:W94"/>
    <mergeCell ref="X94:Y94"/>
    <mergeCell ref="AA94:AB94"/>
    <mergeCell ref="D95:F95"/>
    <mergeCell ref="I95:K95"/>
    <mergeCell ref="L95:M95"/>
    <mergeCell ref="N95:P95"/>
    <mergeCell ref="Q95:R95"/>
    <mergeCell ref="S95:T95"/>
    <mergeCell ref="V95:W95"/>
    <mergeCell ref="X95:Y95"/>
    <mergeCell ref="AA95:AB95"/>
    <mergeCell ref="D96:F96"/>
    <mergeCell ref="I96:K96"/>
    <mergeCell ref="L96:M96"/>
    <mergeCell ref="N96:P96"/>
    <mergeCell ref="Q96:R96"/>
    <mergeCell ref="S96:T96"/>
    <mergeCell ref="V96:W96"/>
    <mergeCell ref="X96:Y96"/>
    <mergeCell ref="AA96:AB96"/>
    <mergeCell ref="D97:F97"/>
    <mergeCell ref="I97:K97"/>
    <mergeCell ref="L97:M97"/>
    <mergeCell ref="N97:P97"/>
    <mergeCell ref="Q97:R97"/>
    <mergeCell ref="S97:T97"/>
    <mergeCell ref="V97:W97"/>
    <mergeCell ref="X97:Y97"/>
    <mergeCell ref="AA97:AB97"/>
    <mergeCell ref="D98:F98"/>
    <mergeCell ref="I98:K98"/>
    <mergeCell ref="L98:M98"/>
    <mergeCell ref="N98:P98"/>
    <mergeCell ref="Q98:R98"/>
    <mergeCell ref="S98:T98"/>
    <mergeCell ref="V98:W98"/>
    <mergeCell ref="X98:Y98"/>
    <mergeCell ref="AA98:AB98"/>
    <mergeCell ref="D99:F99"/>
    <mergeCell ref="I99:K99"/>
    <mergeCell ref="L99:M99"/>
    <mergeCell ref="N99:P99"/>
    <mergeCell ref="Q99:R99"/>
    <mergeCell ref="S99:T99"/>
    <mergeCell ref="V99:W99"/>
    <mergeCell ref="X99:Y99"/>
    <mergeCell ref="AA99:AB99"/>
    <mergeCell ref="D100:F100"/>
    <mergeCell ref="I100:K100"/>
    <mergeCell ref="L100:M100"/>
    <mergeCell ref="N100:P100"/>
    <mergeCell ref="Q100:R100"/>
    <mergeCell ref="S100:T100"/>
    <mergeCell ref="V100:W100"/>
    <mergeCell ref="X100:Y100"/>
    <mergeCell ref="AA100:AB100"/>
    <mergeCell ref="D101:F101"/>
    <mergeCell ref="I101:K101"/>
    <mergeCell ref="L101:M101"/>
    <mergeCell ref="N101:P101"/>
    <mergeCell ref="Q101:R101"/>
    <mergeCell ref="S101:T101"/>
    <mergeCell ref="V101:W101"/>
    <mergeCell ref="X101:Y101"/>
    <mergeCell ref="AA101:AB101"/>
    <mergeCell ref="D102:F102"/>
    <mergeCell ref="I102:K102"/>
    <mergeCell ref="L102:M102"/>
    <mergeCell ref="N102:P102"/>
    <mergeCell ref="Q102:R102"/>
    <mergeCell ref="S102:T102"/>
    <mergeCell ref="V102:W102"/>
    <mergeCell ref="X102:Y102"/>
    <mergeCell ref="AA102:AB102"/>
    <mergeCell ref="D103:F103"/>
    <mergeCell ref="I103:K103"/>
    <mergeCell ref="L103:M103"/>
    <mergeCell ref="N103:P103"/>
    <mergeCell ref="Q103:R103"/>
    <mergeCell ref="S103:T103"/>
    <mergeCell ref="V103:W103"/>
    <mergeCell ref="X103:Y103"/>
    <mergeCell ref="AA103:AB103"/>
    <mergeCell ref="D104:F104"/>
    <mergeCell ref="I104:K104"/>
    <mergeCell ref="L104:M104"/>
    <mergeCell ref="N104:P104"/>
    <mergeCell ref="Q104:R104"/>
    <mergeCell ref="S104:T104"/>
    <mergeCell ref="V104:W104"/>
    <mergeCell ref="X104:Y104"/>
    <mergeCell ref="AA104:AB104"/>
    <mergeCell ref="D105:F105"/>
    <mergeCell ref="I105:K105"/>
    <mergeCell ref="L105:M105"/>
    <mergeCell ref="N105:P105"/>
    <mergeCell ref="Q105:R105"/>
    <mergeCell ref="S105:T105"/>
    <mergeCell ref="V105:W105"/>
    <mergeCell ref="X105:Y105"/>
    <mergeCell ref="AA105:AB105"/>
    <mergeCell ref="D106:F106"/>
    <mergeCell ref="I106:K106"/>
    <mergeCell ref="L106:M106"/>
    <mergeCell ref="N106:P106"/>
    <mergeCell ref="Q106:R106"/>
    <mergeCell ref="S106:T106"/>
    <mergeCell ref="V106:W106"/>
    <mergeCell ref="X106:Y106"/>
    <mergeCell ref="AA106:AB106"/>
    <mergeCell ref="D107:F107"/>
    <mergeCell ref="I107:K107"/>
    <mergeCell ref="L107:M107"/>
    <mergeCell ref="N107:P107"/>
    <mergeCell ref="Q107:R107"/>
    <mergeCell ref="S107:T107"/>
    <mergeCell ref="V107:W107"/>
    <mergeCell ref="X107:Y107"/>
    <mergeCell ref="AA107:AB107"/>
    <mergeCell ref="D108:F108"/>
    <mergeCell ref="I108:K108"/>
    <mergeCell ref="L108:M108"/>
    <mergeCell ref="N108:P108"/>
    <mergeCell ref="Q108:R108"/>
    <mergeCell ref="S108:T108"/>
    <mergeCell ref="V108:W108"/>
    <mergeCell ref="X108:Y108"/>
    <mergeCell ref="AA108:AB108"/>
    <mergeCell ref="D109:F109"/>
    <mergeCell ref="I109:K109"/>
    <mergeCell ref="L109:M109"/>
    <mergeCell ref="N109:P109"/>
    <mergeCell ref="Q109:R109"/>
    <mergeCell ref="S109:T109"/>
    <mergeCell ref="V109:W109"/>
    <mergeCell ref="X109:Y109"/>
    <mergeCell ref="AA109:AB109"/>
    <mergeCell ref="D110:F110"/>
    <mergeCell ref="I110:K110"/>
    <mergeCell ref="L110:M110"/>
    <mergeCell ref="N110:P110"/>
    <mergeCell ref="Q110:R110"/>
    <mergeCell ref="S110:T110"/>
    <mergeCell ref="V110:W110"/>
    <mergeCell ref="X110:Y110"/>
    <mergeCell ref="AA110:AB110"/>
    <mergeCell ref="D111:F111"/>
    <mergeCell ref="I111:K111"/>
    <mergeCell ref="L111:M111"/>
    <mergeCell ref="N111:P111"/>
    <mergeCell ref="Q111:R111"/>
    <mergeCell ref="S111:T111"/>
    <mergeCell ref="V111:W111"/>
    <mergeCell ref="X111:Y111"/>
    <mergeCell ref="AA111:AB111"/>
    <mergeCell ref="D112:F112"/>
    <mergeCell ref="I112:K112"/>
    <mergeCell ref="L112:M112"/>
    <mergeCell ref="N112:P112"/>
    <mergeCell ref="Q112:R112"/>
    <mergeCell ref="S112:T112"/>
    <mergeCell ref="V112:W112"/>
    <mergeCell ref="X112:Y112"/>
    <mergeCell ref="AA112:AB112"/>
    <mergeCell ref="D113:F113"/>
    <mergeCell ref="I113:K113"/>
    <mergeCell ref="L113:M113"/>
    <mergeCell ref="N113:P113"/>
    <mergeCell ref="Q113:R113"/>
    <mergeCell ref="S113:T113"/>
    <mergeCell ref="V113:W113"/>
    <mergeCell ref="X113:Y113"/>
    <mergeCell ref="AA113:AB113"/>
    <mergeCell ref="D114:F114"/>
    <mergeCell ref="I114:K114"/>
    <mergeCell ref="L114:M114"/>
    <mergeCell ref="N114:P114"/>
    <mergeCell ref="Q114:R114"/>
    <mergeCell ref="S114:T114"/>
    <mergeCell ref="V114:W114"/>
    <mergeCell ref="X114:Y114"/>
    <mergeCell ref="AA114:AB114"/>
    <mergeCell ref="D115:F115"/>
    <mergeCell ref="I115:K115"/>
    <mergeCell ref="L115:M115"/>
    <mergeCell ref="N115:P115"/>
    <mergeCell ref="Q115:R115"/>
    <mergeCell ref="S115:T115"/>
    <mergeCell ref="V115:W115"/>
    <mergeCell ref="X115:Y115"/>
    <mergeCell ref="AA115:AB115"/>
    <mergeCell ref="D116:F116"/>
    <mergeCell ref="I116:K116"/>
    <mergeCell ref="L116:M116"/>
    <mergeCell ref="N116:P116"/>
    <mergeCell ref="Q116:R116"/>
    <mergeCell ref="S116:T116"/>
    <mergeCell ref="V116:W116"/>
    <mergeCell ref="X116:Y116"/>
    <mergeCell ref="AA116:AB116"/>
    <mergeCell ref="D117:F117"/>
    <mergeCell ref="I117:K117"/>
    <mergeCell ref="L117:M117"/>
    <mergeCell ref="N117:P117"/>
    <mergeCell ref="Q117:R117"/>
    <mergeCell ref="S117:T117"/>
    <mergeCell ref="V117:W117"/>
    <mergeCell ref="X117:Y117"/>
    <mergeCell ref="AA117:AB117"/>
    <mergeCell ref="D118:F118"/>
    <mergeCell ref="I118:K118"/>
    <mergeCell ref="L118:M118"/>
    <mergeCell ref="N118:P118"/>
    <mergeCell ref="Q118:R118"/>
    <mergeCell ref="S118:T118"/>
    <mergeCell ref="V118:W118"/>
    <mergeCell ref="X118:Y118"/>
    <mergeCell ref="AA118:AB118"/>
    <mergeCell ref="D119:F119"/>
    <mergeCell ref="I119:K119"/>
    <mergeCell ref="L119:M119"/>
    <mergeCell ref="N119:P119"/>
    <mergeCell ref="Q119:R119"/>
    <mergeCell ref="S119:T119"/>
    <mergeCell ref="V119:W119"/>
    <mergeCell ref="X119:Y119"/>
    <mergeCell ref="AA119:AB119"/>
    <mergeCell ref="D120:F120"/>
    <mergeCell ref="I120:K120"/>
    <mergeCell ref="L120:M120"/>
    <mergeCell ref="N120:P120"/>
    <mergeCell ref="Q120:R120"/>
    <mergeCell ref="S120:T120"/>
    <mergeCell ref="V120:W120"/>
    <mergeCell ref="X120:Y120"/>
    <mergeCell ref="AA120:AB120"/>
    <mergeCell ref="D121:F121"/>
    <mergeCell ref="I121:K121"/>
    <mergeCell ref="L121:M121"/>
    <mergeCell ref="N121:P121"/>
    <mergeCell ref="Q121:R121"/>
    <mergeCell ref="S121:T121"/>
    <mergeCell ref="V121:W121"/>
    <mergeCell ref="X121:Y121"/>
    <mergeCell ref="AA121:AB121"/>
    <mergeCell ref="D122:F122"/>
    <mergeCell ref="I122:K122"/>
    <mergeCell ref="L122:M122"/>
    <mergeCell ref="N122:P122"/>
    <mergeCell ref="Q122:R122"/>
    <mergeCell ref="S122:T122"/>
    <mergeCell ref="V122:W122"/>
    <mergeCell ref="X122:Y122"/>
    <mergeCell ref="AA122:AB122"/>
    <mergeCell ref="D123:F123"/>
    <mergeCell ref="I123:K123"/>
    <mergeCell ref="L123:M123"/>
    <mergeCell ref="N123:P123"/>
    <mergeCell ref="Q123:R123"/>
    <mergeCell ref="S123:T123"/>
    <mergeCell ref="V123:W123"/>
    <mergeCell ref="X123:Y123"/>
    <mergeCell ref="AA123:AB123"/>
    <mergeCell ref="D124:F124"/>
    <mergeCell ref="I124:K124"/>
    <mergeCell ref="L124:M124"/>
    <mergeCell ref="N124:P124"/>
    <mergeCell ref="Q124:R124"/>
    <mergeCell ref="S124:T124"/>
    <mergeCell ref="V124:W124"/>
    <mergeCell ref="X124:Y124"/>
    <mergeCell ref="AA124:AB124"/>
    <mergeCell ref="D125:F125"/>
    <mergeCell ref="I125:K125"/>
    <mergeCell ref="L125:M125"/>
    <mergeCell ref="N125:P125"/>
    <mergeCell ref="Q125:R125"/>
    <mergeCell ref="S125:T125"/>
    <mergeCell ref="V125:W125"/>
    <mergeCell ref="X125:Y125"/>
    <mergeCell ref="AA125:AB125"/>
    <mergeCell ref="D126:F126"/>
    <mergeCell ref="I126:K126"/>
    <mergeCell ref="L126:M126"/>
    <mergeCell ref="N126:P126"/>
    <mergeCell ref="Q126:R126"/>
    <mergeCell ref="S126:T126"/>
    <mergeCell ref="V126:W126"/>
    <mergeCell ref="X126:Y126"/>
    <mergeCell ref="AA126:AB126"/>
    <mergeCell ref="D127:F127"/>
    <mergeCell ref="I127:K127"/>
    <mergeCell ref="L127:M127"/>
    <mergeCell ref="N127:P127"/>
    <mergeCell ref="Q127:R127"/>
    <mergeCell ref="S127:T127"/>
    <mergeCell ref="V127:W127"/>
    <mergeCell ref="X127:Y127"/>
    <mergeCell ref="AA127:AB127"/>
    <mergeCell ref="D128:F128"/>
    <mergeCell ref="I128:K128"/>
    <mergeCell ref="L128:M128"/>
    <mergeCell ref="N128:P128"/>
    <mergeCell ref="Q128:R128"/>
    <mergeCell ref="S128:T128"/>
    <mergeCell ref="V128:W128"/>
    <mergeCell ref="X128:Y128"/>
    <mergeCell ref="AA128:AB128"/>
    <mergeCell ref="D129:F129"/>
    <mergeCell ref="I129:K129"/>
    <mergeCell ref="L129:M129"/>
    <mergeCell ref="N129:P129"/>
    <mergeCell ref="Q129:R129"/>
    <mergeCell ref="S129:T129"/>
    <mergeCell ref="V129:W129"/>
    <mergeCell ref="X129:Y129"/>
    <mergeCell ref="AA129:AB129"/>
    <mergeCell ref="D130:F130"/>
    <mergeCell ref="I130:K130"/>
    <mergeCell ref="L130:M130"/>
    <mergeCell ref="N130:P130"/>
    <mergeCell ref="Q130:R130"/>
    <mergeCell ref="S130:T130"/>
    <mergeCell ref="V130:W130"/>
    <mergeCell ref="X130:Y130"/>
    <mergeCell ref="AA130:AB130"/>
    <mergeCell ref="D131:F131"/>
    <mergeCell ref="I131:K131"/>
    <mergeCell ref="L131:M131"/>
    <mergeCell ref="N131:P131"/>
    <mergeCell ref="Q131:R131"/>
    <mergeCell ref="S131:T131"/>
    <mergeCell ref="V131:W131"/>
    <mergeCell ref="X131:Y131"/>
    <mergeCell ref="AA131:AB131"/>
    <mergeCell ref="D132:F132"/>
    <mergeCell ref="I132:K132"/>
    <mergeCell ref="L132:M132"/>
    <mergeCell ref="N132:P132"/>
    <mergeCell ref="Q132:R132"/>
    <mergeCell ref="S132:T132"/>
    <mergeCell ref="V132:W132"/>
    <mergeCell ref="X132:Y132"/>
    <mergeCell ref="AA132:AB132"/>
    <mergeCell ref="D133:F133"/>
    <mergeCell ref="I133:K133"/>
    <mergeCell ref="L133:M133"/>
    <mergeCell ref="N133:P133"/>
    <mergeCell ref="Q133:R133"/>
    <mergeCell ref="S133:T133"/>
    <mergeCell ref="V133:W133"/>
    <mergeCell ref="X133:Y133"/>
    <mergeCell ref="AA133:AB133"/>
    <mergeCell ref="D134:F134"/>
    <mergeCell ref="I134:K134"/>
    <mergeCell ref="L134:M134"/>
    <mergeCell ref="N134:P134"/>
    <mergeCell ref="Q134:R134"/>
    <mergeCell ref="S134:T134"/>
    <mergeCell ref="V134:W134"/>
    <mergeCell ref="X134:Y134"/>
    <mergeCell ref="AA134:AB134"/>
    <mergeCell ref="D135:F135"/>
    <mergeCell ref="I135:K135"/>
    <mergeCell ref="L135:M135"/>
    <mergeCell ref="N135:P135"/>
    <mergeCell ref="Q135:R135"/>
    <mergeCell ref="S135:T135"/>
    <mergeCell ref="V135:W135"/>
    <mergeCell ref="X135:Y135"/>
    <mergeCell ref="AA135:AB135"/>
    <mergeCell ref="D136:F136"/>
    <mergeCell ref="I136:K136"/>
    <mergeCell ref="L136:M136"/>
    <mergeCell ref="N136:P136"/>
    <mergeCell ref="Q136:R136"/>
    <mergeCell ref="S136:T136"/>
    <mergeCell ref="V136:W136"/>
    <mergeCell ref="X136:Y136"/>
    <mergeCell ref="AA136:AB136"/>
    <mergeCell ref="D137:F137"/>
    <mergeCell ref="I137:K137"/>
    <mergeCell ref="L137:M137"/>
    <mergeCell ref="N137:P137"/>
    <mergeCell ref="Q137:R137"/>
    <mergeCell ref="S137:T137"/>
    <mergeCell ref="V137:W137"/>
    <mergeCell ref="X137:Y137"/>
    <mergeCell ref="AA137:AB137"/>
    <mergeCell ref="D138:F138"/>
    <mergeCell ref="I138:K138"/>
    <mergeCell ref="L138:M138"/>
    <mergeCell ref="N138:P138"/>
    <mergeCell ref="Q138:R138"/>
    <mergeCell ref="S138:T138"/>
    <mergeCell ref="V138:W138"/>
    <mergeCell ref="X138:Y138"/>
    <mergeCell ref="AA138:AB138"/>
    <mergeCell ref="D139:F139"/>
    <mergeCell ref="I139:K139"/>
    <mergeCell ref="L139:M139"/>
    <mergeCell ref="N139:P139"/>
    <mergeCell ref="Q139:R139"/>
    <mergeCell ref="S139:T139"/>
    <mergeCell ref="V139:W139"/>
    <mergeCell ref="X139:Y139"/>
    <mergeCell ref="AA139:AB139"/>
    <mergeCell ref="D140:F140"/>
    <mergeCell ref="I140:K140"/>
    <mergeCell ref="L140:M140"/>
    <mergeCell ref="N140:P140"/>
    <mergeCell ref="Q140:R140"/>
    <mergeCell ref="S140:T140"/>
    <mergeCell ref="V140:W140"/>
    <mergeCell ref="X140:Y140"/>
    <mergeCell ref="AA140:AB140"/>
    <mergeCell ref="D141:F141"/>
    <mergeCell ref="I141:K141"/>
    <mergeCell ref="L141:M141"/>
    <mergeCell ref="N141:P141"/>
    <mergeCell ref="Q141:R141"/>
    <mergeCell ref="S141:T141"/>
    <mergeCell ref="V141:W141"/>
    <mergeCell ref="X141:Y141"/>
    <mergeCell ref="AA141:AB141"/>
    <mergeCell ref="D142:F142"/>
    <mergeCell ref="I142:K142"/>
    <mergeCell ref="L142:M142"/>
    <mergeCell ref="N142:P142"/>
    <mergeCell ref="Q142:R142"/>
    <mergeCell ref="S142:T142"/>
    <mergeCell ref="V142:W142"/>
    <mergeCell ref="X142:Y142"/>
    <mergeCell ref="AA142:AB142"/>
    <mergeCell ref="D143:F143"/>
    <mergeCell ref="I143:K143"/>
    <mergeCell ref="L143:M143"/>
    <mergeCell ref="N143:P143"/>
    <mergeCell ref="Q143:R143"/>
    <mergeCell ref="S143:T143"/>
    <mergeCell ref="V143:W143"/>
    <mergeCell ref="X143:Y143"/>
    <mergeCell ref="AA143:AB143"/>
    <mergeCell ref="D144:F144"/>
    <mergeCell ref="I144:K144"/>
    <mergeCell ref="L144:M144"/>
    <mergeCell ref="N144:P144"/>
    <mergeCell ref="Q144:R144"/>
    <mergeCell ref="S144:T144"/>
    <mergeCell ref="V144:W144"/>
    <mergeCell ref="X144:Y144"/>
    <mergeCell ref="AA144:AB144"/>
    <mergeCell ref="D145:F145"/>
    <mergeCell ref="I145:K145"/>
    <mergeCell ref="L145:M145"/>
    <mergeCell ref="N145:P145"/>
    <mergeCell ref="Q145:R145"/>
    <mergeCell ref="S145:T145"/>
    <mergeCell ref="V145:W145"/>
    <mergeCell ref="X145:Y145"/>
    <mergeCell ref="AA145:AB145"/>
    <mergeCell ref="D146:F146"/>
    <mergeCell ref="I146:K146"/>
    <mergeCell ref="L146:M146"/>
    <mergeCell ref="N146:P146"/>
    <mergeCell ref="Q146:R146"/>
    <mergeCell ref="S146:T146"/>
    <mergeCell ref="V146:W146"/>
    <mergeCell ref="X146:Y146"/>
    <mergeCell ref="AA146:AB146"/>
    <mergeCell ref="D147:F147"/>
    <mergeCell ref="I147:K147"/>
    <mergeCell ref="L147:M147"/>
    <mergeCell ref="N147:P147"/>
    <mergeCell ref="Q147:R147"/>
    <mergeCell ref="S147:T147"/>
    <mergeCell ref="V147:W147"/>
    <mergeCell ref="X147:Y147"/>
    <mergeCell ref="AA147:AB147"/>
    <mergeCell ref="D148:F148"/>
    <mergeCell ref="I148:K148"/>
    <mergeCell ref="L148:M148"/>
    <mergeCell ref="N148:P148"/>
    <mergeCell ref="Q148:R148"/>
    <mergeCell ref="S148:T148"/>
    <mergeCell ref="V148:W148"/>
    <mergeCell ref="X148:Y148"/>
    <mergeCell ref="AA148:AB148"/>
    <mergeCell ref="D149:F149"/>
    <mergeCell ref="I149:K149"/>
    <mergeCell ref="L149:M149"/>
    <mergeCell ref="N149:P149"/>
    <mergeCell ref="Q149:R149"/>
    <mergeCell ref="S149:T149"/>
    <mergeCell ref="V149:W149"/>
    <mergeCell ref="X149:Y149"/>
    <mergeCell ref="AA149:AB149"/>
    <mergeCell ref="D150:F150"/>
    <mergeCell ref="I150:K150"/>
    <mergeCell ref="L150:M150"/>
    <mergeCell ref="N150:P150"/>
    <mergeCell ref="Q150:R150"/>
    <mergeCell ref="S150:T150"/>
    <mergeCell ref="V150:W150"/>
    <mergeCell ref="X150:Y150"/>
    <mergeCell ref="AA150:AB150"/>
    <mergeCell ref="D151:F151"/>
    <mergeCell ref="I151:K151"/>
    <mergeCell ref="L151:M151"/>
    <mergeCell ref="N151:P151"/>
    <mergeCell ref="Q151:R151"/>
    <mergeCell ref="S151:T151"/>
    <mergeCell ref="V151:W151"/>
    <mergeCell ref="X151:Y151"/>
    <mergeCell ref="AA151:AB151"/>
    <mergeCell ref="D152:F152"/>
    <mergeCell ref="I152:K152"/>
    <mergeCell ref="L152:M152"/>
    <mergeCell ref="N152:P152"/>
    <mergeCell ref="Q152:R152"/>
    <mergeCell ref="S152:T152"/>
    <mergeCell ref="V152:W152"/>
    <mergeCell ref="X152:Y152"/>
    <mergeCell ref="AA152:AB152"/>
    <mergeCell ref="D153:F153"/>
    <mergeCell ref="I153:K153"/>
    <mergeCell ref="L153:M153"/>
    <mergeCell ref="N153:P153"/>
    <mergeCell ref="Q153:R153"/>
    <mergeCell ref="S153:T153"/>
    <mergeCell ref="V153:W153"/>
    <mergeCell ref="X153:Y153"/>
    <mergeCell ref="AA153:AB153"/>
    <mergeCell ref="D154:F154"/>
    <mergeCell ref="I154:K154"/>
    <mergeCell ref="L154:M154"/>
    <mergeCell ref="N154:P154"/>
    <mergeCell ref="Q154:R154"/>
    <mergeCell ref="S154:T154"/>
    <mergeCell ref="V154:W154"/>
    <mergeCell ref="X154:Y154"/>
    <mergeCell ref="AA154:AB154"/>
    <mergeCell ref="D155:F155"/>
    <mergeCell ref="I155:K155"/>
    <mergeCell ref="L155:M155"/>
    <mergeCell ref="N155:P155"/>
    <mergeCell ref="Q155:R155"/>
    <mergeCell ref="S155:T155"/>
    <mergeCell ref="V155:W155"/>
    <mergeCell ref="X155:Y155"/>
    <mergeCell ref="AA155:AB155"/>
    <mergeCell ref="D156:F156"/>
    <mergeCell ref="I156:K156"/>
    <mergeCell ref="L156:M156"/>
    <mergeCell ref="N156:P156"/>
    <mergeCell ref="Q156:R156"/>
    <mergeCell ref="S156:T156"/>
    <mergeCell ref="V156:W156"/>
    <mergeCell ref="X156:Y156"/>
    <mergeCell ref="AA156:AB156"/>
    <mergeCell ref="D157:F157"/>
    <mergeCell ref="I157:K157"/>
    <mergeCell ref="L157:M157"/>
    <mergeCell ref="N157:P157"/>
    <mergeCell ref="Q157:R157"/>
    <mergeCell ref="S157:T157"/>
    <mergeCell ref="V157:W157"/>
    <mergeCell ref="X157:Y157"/>
    <mergeCell ref="AA157:AB157"/>
    <mergeCell ref="D158:F158"/>
    <mergeCell ref="I158:K158"/>
    <mergeCell ref="L158:M158"/>
    <mergeCell ref="N158:P158"/>
    <mergeCell ref="Q158:R158"/>
    <mergeCell ref="S158:T158"/>
    <mergeCell ref="V158:W158"/>
    <mergeCell ref="X158:Y158"/>
    <mergeCell ref="AA158:AB158"/>
    <mergeCell ref="D159:F159"/>
    <mergeCell ref="I159:K159"/>
    <mergeCell ref="L159:M159"/>
    <mergeCell ref="N159:P159"/>
    <mergeCell ref="Q159:R159"/>
    <mergeCell ref="S159:T159"/>
    <mergeCell ref="V159:W159"/>
    <mergeCell ref="X159:Y159"/>
    <mergeCell ref="AA159:AB159"/>
    <mergeCell ref="D160:F160"/>
    <mergeCell ref="I160:K160"/>
    <mergeCell ref="L160:M160"/>
    <mergeCell ref="N160:P160"/>
    <mergeCell ref="Q160:R160"/>
    <mergeCell ref="S160:T160"/>
    <mergeCell ref="V160:W160"/>
    <mergeCell ref="X160:Y160"/>
    <mergeCell ref="AA160:AB160"/>
    <mergeCell ref="D161:F161"/>
    <mergeCell ref="I161:K161"/>
    <mergeCell ref="L161:M161"/>
    <mergeCell ref="N161:P161"/>
    <mergeCell ref="Q161:R161"/>
    <mergeCell ref="S161:T161"/>
    <mergeCell ref="V161:W161"/>
    <mergeCell ref="X161:Y161"/>
    <mergeCell ref="AA161:AB161"/>
    <mergeCell ref="D162:F162"/>
    <mergeCell ref="I162:K162"/>
    <mergeCell ref="L162:M162"/>
    <mergeCell ref="N162:P162"/>
    <mergeCell ref="Q162:R162"/>
    <mergeCell ref="S162:T162"/>
    <mergeCell ref="V162:W162"/>
    <mergeCell ref="X162:Y162"/>
    <mergeCell ref="AA162:AB162"/>
    <mergeCell ref="D163:F163"/>
    <mergeCell ref="I163:K163"/>
    <mergeCell ref="L163:M163"/>
    <mergeCell ref="N163:P163"/>
    <mergeCell ref="Q163:R163"/>
    <mergeCell ref="S163:T163"/>
    <mergeCell ref="V163:W163"/>
    <mergeCell ref="X163:Y163"/>
    <mergeCell ref="AA163:AB163"/>
    <mergeCell ref="D164:F164"/>
    <mergeCell ref="I164:K164"/>
    <mergeCell ref="L164:M164"/>
    <mergeCell ref="N164:P164"/>
    <mergeCell ref="Q164:R164"/>
    <mergeCell ref="S164:T164"/>
    <mergeCell ref="V164:W164"/>
    <mergeCell ref="X164:Y164"/>
    <mergeCell ref="AA164:AB164"/>
    <mergeCell ref="D165:F165"/>
    <mergeCell ref="I165:K165"/>
    <mergeCell ref="L165:M165"/>
    <mergeCell ref="N165:P165"/>
    <mergeCell ref="Q165:R165"/>
    <mergeCell ref="S165:T165"/>
    <mergeCell ref="V165:W165"/>
    <mergeCell ref="X165:Y165"/>
    <mergeCell ref="AA165:AB165"/>
    <mergeCell ref="D166:F166"/>
    <mergeCell ref="I166:K166"/>
    <mergeCell ref="L166:M166"/>
    <mergeCell ref="N166:P166"/>
    <mergeCell ref="Q166:R166"/>
    <mergeCell ref="S166:T166"/>
    <mergeCell ref="V166:W166"/>
    <mergeCell ref="X166:Y166"/>
    <mergeCell ref="AA166:AB166"/>
    <mergeCell ref="D167:F167"/>
    <mergeCell ref="I167:K167"/>
    <mergeCell ref="L167:M167"/>
    <mergeCell ref="N167:P167"/>
    <mergeCell ref="Q167:R167"/>
    <mergeCell ref="S167:T167"/>
    <mergeCell ref="V167:W167"/>
    <mergeCell ref="X167:Y167"/>
    <mergeCell ref="AA167:AB167"/>
    <mergeCell ref="D168:F168"/>
    <mergeCell ref="I168:K168"/>
    <mergeCell ref="L168:M168"/>
    <mergeCell ref="N168:P168"/>
    <mergeCell ref="Q168:R168"/>
    <mergeCell ref="S168:T168"/>
    <mergeCell ref="V168:W168"/>
    <mergeCell ref="X168:Y168"/>
    <mergeCell ref="AA168:AB168"/>
    <mergeCell ref="D169:F169"/>
    <mergeCell ref="I169:K169"/>
    <mergeCell ref="L169:M169"/>
    <mergeCell ref="N169:P169"/>
    <mergeCell ref="Q169:R169"/>
    <mergeCell ref="S169:T169"/>
    <mergeCell ref="V169:W169"/>
    <mergeCell ref="X169:Y169"/>
    <mergeCell ref="AA169:AB169"/>
    <mergeCell ref="D170:F170"/>
    <mergeCell ref="I170:K170"/>
    <mergeCell ref="L170:M170"/>
    <mergeCell ref="N170:P170"/>
    <mergeCell ref="Q170:R170"/>
    <mergeCell ref="S170:T170"/>
    <mergeCell ref="V170:W170"/>
    <mergeCell ref="X170:Y170"/>
    <mergeCell ref="AA170:AB170"/>
    <mergeCell ref="D171:F171"/>
    <mergeCell ref="I171:K171"/>
    <mergeCell ref="L171:M171"/>
    <mergeCell ref="N171:P171"/>
    <mergeCell ref="Q171:R171"/>
    <mergeCell ref="S171:T171"/>
    <mergeCell ref="V171:W171"/>
    <mergeCell ref="X171:Y171"/>
    <mergeCell ref="AA171:AB171"/>
    <mergeCell ref="D172:F172"/>
    <mergeCell ref="I172:K172"/>
    <mergeCell ref="L172:M172"/>
    <mergeCell ref="N172:P172"/>
    <mergeCell ref="Q172:R172"/>
    <mergeCell ref="S172:T172"/>
    <mergeCell ref="V172:W172"/>
    <mergeCell ref="X172:Y172"/>
    <mergeCell ref="AA172:AB172"/>
    <mergeCell ref="D173:F173"/>
    <mergeCell ref="I173:K173"/>
    <mergeCell ref="L173:M173"/>
    <mergeCell ref="N173:P173"/>
    <mergeCell ref="Q173:R173"/>
    <mergeCell ref="S173:T173"/>
    <mergeCell ref="V173:W173"/>
    <mergeCell ref="X173:Y173"/>
    <mergeCell ref="AA173:AB173"/>
    <mergeCell ref="D174:F174"/>
    <mergeCell ref="I174:K174"/>
    <mergeCell ref="L174:M174"/>
    <mergeCell ref="N174:P174"/>
    <mergeCell ref="Q174:R174"/>
    <mergeCell ref="S174:T174"/>
    <mergeCell ref="V174:W174"/>
    <mergeCell ref="X174:Y174"/>
    <mergeCell ref="AA174:AB174"/>
    <mergeCell ref="D175:F175"/>
    <mergeCell ref="I175:K175"/>
    <mergeCell ref="L175:M175"/>
    <mergeCell ref="N175:P175"/>
    <mergeCell ref="Q175:R175"/>
    <mergeCell ref="S175:T175"/>
    <mergeCell ref="V175:W175"/>
    <mergeCell ref="X175:Y175"/>
    <mergeCell ref="AA175:AB175"/>
    <mergeCell ref="D176:F176"/>
    <mergeCell ref="I176:K176"/>
    <mergeCell ref="L176:M176"/>
    <mergeCell ref="N176:P176"/>
    <mergeCell ref="Q176:R176"/>
    <mergeCell ref="S176:T176"/>
    <mergeCell ref="V176:W176"/>
    <mergeCell ref="X176:Y176"/>
    <mergeCell ref="AA176:AB176"/>
    <mergeCell ref="D177:F177"/>
    <mergeCell ref="I177:K177"/>
    <mergeCell ref="L177:M177"/>
    <mergeCell ref="N177:P177"/>
    <mergeCell ref="Q177:R177"/>
    <mergeCell ref="S177:T177"/>
    <mergeCell ref="V177:W177"/>
    <mergeCell ref="X177:Y177"/>
    <mergeCell ref="AA177:AB177"/>
    <mergeCell ref="D178:F178"/>
    <mergeCell ref="I178:K178"/>
    <mergeCell ref="L178:M178"/>
    <mergeCell ref="N178:P178"/>
    <mergeCell ref="Q178:R178"/>
    <mergeCell ref="S178:T178"/>
    <mergeCell ref="V178:W178"/>
    <mergeCell ref="X178:Y178"/>
    <mergeCell ref="AA178:AB178"/>
    <mergeCell ref="D179:F179"/>
    <mergeCell ref="I179:K179"/>
    <mergeCell ref="L179:M179"/>
    <mergeCell ref="N179:P179"/>
    <mergeCell ref="Q179:R179"/>
    <mergeCell ref="S179:T179"/>
    <mergeCell ref="V179:W179"/>
    <mergeCell ref="X179:Y179"/>
    <mergeCell ref="AA179:AB179"/>
    <mergeCell ref="D180:F180"/>
    <mergeCell ref="I180:K180"/>
    <mergeCell ref="L180:M180"/>
    <mergeCell ref="N180:P180"/>
    <mergeCell ref="Q180:R180"/>
    <mergeCell ref="S180:T180"/>
    <mergeCell ref="V180:W180"/>
    <mergeCell ref="X180:Y180"/>
    <mergeCell ref="AA180:AB180"/>
    <mergeCell ref="D181:F181"/>
    <mergeCell ref="I181:K181"/>
    <mergeCell ref="L181:M181"/>
    <mergeCell ref="N181:P181"/>
    <mergeCell ref="Q181:R181"/>
    <mergeCell ref="S181:T181"/>
    <mergeCell ref="V181:W181"/>
    <mergeCell ref="X181:Y181"/>
    <mergeCell ref="AA181:AB181"/>
    <mergeCell ref="D182:F182"/>
    <mergeCell ref="I182:K182"/>
    <mergeCell ref="L182:M182"/>
    <mergeCell ref="N182:P182"/>
    <mergeCell ref="Q182:R182"/>
    <mergeCell ref="S182:T182"/>
    <mergeCell ref="V182:W182"/>
    <mergeCell ref="X182:Y182"/>
    <mergeCell ref="AA182:AB182"/>
    <mergeCell ref="D183:F183"/>
    <mergeCell ref="I183:K183"/>
    <mergeCell ref="L183:M183"/>
    <mergeCell ref="N183:P183"/>
    <mergeCell ref="Q183:R183"/>
    <mergeCell ref="S183:T183"/>
    <mergeCell ref="V183:W183"/>
    <mergeCell ref="X183:Y183"/>
    <mergeCell ref="AA183:AB183"/>
    <mergeCell ref="D184:F184"/>
    <mergeCell ref="I184:K184"/>
    <mergeCell ref="L184:M184"/>
    <mergeCell ref="N184:P184"/>
    <mergeCell ref="Q184:R184"/>
    <mergeCell ref="S184:T184"/>
    <mergeCell ref="V184:W184"/>
    <mergeCell ref="X184:Y184"/>
    <mergeCell ref="AA184:AB184"/>
    <mergeCell ref="D185:F185"/>
    <mergeCell ref="I185:K185"/>
    <mergeCell ref="L185:M185"/>
    <mergeCell ref="N185:P185"/>
    <mergeCell ref="Q185:R185"/>
    <mergeCell ref="S185:T185"/>
    <mergeCell ref="V185:W185"/>
    <mergeCell ref="X185:Y185"/>
    <mergeCell ref="AA185:AB185"/>
    <mergeCell ref="D186:F186"/>
    <mergeCell ref="I186:K186"/>
    <mergeCell ref="L186:M186"/>
    <mergeCell ref="N186:P186"/>
    <mergeCell ref="Q186:R186"/>
    <mergeCell ref="S186:T186"/>
    <mergeCell ref="V186:W186"/>
    <mergeCell ref="X186:Y186"/>
    <mergeCell ref="AA186:AB186"/>
    <mergeCell ref="D187:F187"/>
    <mergeCell ref="I187:K187"/>
    <mergeCell ref="L187:M187"/>
    <mergeCell ref="N187:P187"/>
    <mergeCell ref="Q187:R187"/>
    <mergeCell ref="S187:T187"/>
    <mergeCell ref="V187:W187"/>
    <mergeCell ref="X187:Y187"/>
    <mergeCell ref="AA187:AB187"/>
    <mergeCell ref="D188:F188"/>
    <mergeCell ref="I188:K188"/>
    <mergeCell ref="L188:M188"/>
    <mergeCell ref="N188:P188"/>
    <mergeCell ref="Q188:R188"/>
    <mergeCell ref="S188:T188"/>
    <mergeCell ref="V188:W188"/>
    <mergeCell ref="X188:Y188"/>
    <mergeCell ref="AA188:AB188"/>
    <mergeCell ref="D189:F189"/>
    <mergeCell ref="I189:K189"/>
    <mergeCell ref="L189:M189"/>
    <mergeCell ref="N189:P189"/>
    <mergeCell ref="Q189:R189"/>
    <mergeCell ref="S189:T189"/>
    <mergeCell ref="V189:W189"/>
    <mergeCell ref="X189:Y189"/>
    <mergeCell ref="AA189:AB189"/>
    <mergeCell ref="D190:F190"/>
    <mergeCell ref="I190:K190"/>
    <mergeCell ref="L190:M190"/>
    <mergeCell ref="N190:P190"/>
    <mergeCell ref="Q190:R190"/>
    <mergeCell ref="S190:T190"/>
    <mergeCell ref="V190:W190"/>
    <mergeCell ref="X190:Y190"/>
    <mergeCell ref="AA190:AB190"/>
    <mergeCell ref="D191:F191"/>
    <mergeCell ref="I191:K191"/>
    <mergeCell ref="L191:M191"/>
    <mergeCell ref="N191:P191"/>
    <mergeCell ref="Q191:R191"/>
    <mergeCell ref="S191:T191"/>
    <mergeCell ref="V191:W191"/>
    <mergeCell ref="X191:Y191"/>
    <mergeCell ref="AA191:AB191"/>
    <mergeCell ref="D192:F192"/>
    <mergeCell ref="I192:K192"/>
    <mergeCell ref="L192:M192"/>
    <mergeCell ref="N192:P192"/>
    <mergeCell ref="Q192:R192"/>
    <mergeCell ref="S192:T192"/>
    <mergeCell ref="V192:W192"/>
    <mergeCell ref="X192:Y192"/>
    <mergeCell ref="AA192:AB192"/>
    <mergeCell ref="D193:F193"/>
    <mergeCell ref="I193:K193"/>
    <mergeCell ref="L193:M193"/>
    <mergeCell ref="N193:P193"/>
    <mergeCell ref="Q193:R193"/>
    <mergeCell ref="S193:T193"/>
    <mergeCell ref="V193:W193"/>
    <mergeCell ref="X193:Y193"/>
    <mergeCell ref="AA193:AB193"/>
    <mergeCell ref="D194:F194"/>
    <mergeCell ref="I194:K194"/>
    <mergeCell ref="L194:M194"/>
    <mergeCell ref="N194:P194"/>
    <mergeCell ref="Q194:R194"/>
    <mergeCell ref="S194:T194"/>
    <mergeCell ref="V194:W194"/>
    <mergeCell ref="X194:Y194"/>
    <mergeCell ref="AA194:AB194"/>
    <mergeCell ref="D195:F195"/>
    <mergeCell ref="I195:K195"/>
    <mergeCell ref="L195:M195"/>
    <mergeCell ref="N195:P195"/>
    <mergeCell ref="Q195:R195"/>
    <mergeCell ref="S195:T195"/>
    <mergeCell ref="V195:W195"/>
    <mergeCell ref="X195:Y195"/>
    <mergeCell ref="AA195:AB195"/>
    <mergeCell ref="D196:F196"/>
    <mergeCell ref="I196:K196"/>
    <mergeCell ref="L196:M196"/>
    <mergeCell ref="N196:P196"/>
    <mergeCell ref="Q196:R196"/>
    <mergeCell ref="S196:T196"/>
    <mergeCell ref="V196:W196"/>
    <mergeCell ref="X196:Y196"/>
    <mergeCell ref="AA196:AB196"/>
    <mergeCell ref="D197:F197"/>
    <mergeCell ref="I197:K197"/>
    <mergeCell ref="L197:M197"/>
    <mergeCell ref="N197:P197"/>
    <mergeCell ref="Q197:R197"/>
    <mergeCell ref="S197:T197"/>
    <mergeCell ref="V197:W197"/>
    <mergeCell ref="X197:Y197"/>
    <mergeCell ref="AA197:AB197"/>
    <mergeCell ref="D198:F198"/>
    <mergeCell ref="I198:K198"/>
    <mergeCell ref="L198:M198"/>
    <mergeCell ref="N198:P198"/>
    <mergeCell ref="Q198:R198"/>
    <mergeCell ref="S198:T198"/>
    <mergeCell ref="V198:W198"/>
    <mergeCell ref="X198:Y198"/>
    <mergeCell ref="AA198:AB198"/>
    <mergeCell ref="D199:F199"/>
    <mergeCell ref="I199:K199"/>
    <mergeCell ref="L199:M199"/>
    <mergeCell ref="N199:P199"/>
    <mergeCell ref="Q199:R199"/>
    <mergeCell ref="S199:T199"/>
    <mergeCell ref="V199:W199"/>
    <mergeCell ref="X199:Y199"/>
    <mergeCell ref="AA199:AB199"/>
    <mergeCell ref="D200:F200"/>
    <mergeCell ref="I200:K200"/>
    <mergeCell ref="L200:M200"/>
    <mergeCell ref="N200:P200"/>
    <mergeCell ref="Q200:R200"/>
    <mergeCell ref="S200:T200"/>
    <mergeCell ref="V200:W200"/>
    <mergeCell ref="X200:Y200"/>
    <mergeCell ref="AA200:AB200"/>
    <mergeCell ref="D201:F201"/>
    <mergeCell ref="I201:K201"/>
    <mergeCell ref="L201:M201"/>
    <mergeCell ref="N201:P201"/>
    <mergeCell ref="Q201:R201"/>
    <mergeCell ref="S201:T201"/>
    <mergeCell ref="V201:W201"/>
    <mergeCell ref="X201:Y201"/>
    <mergeCell ref="AA201:AB201"/>
    <mergeCell ref="D202:F202"/>
    <mergeCell ref="I202:K202"/>
    <mergeCell ref="L202:M202"/>
    <mergeCell ref="N202:P202"/>
    <mergeCell ref="Q202:R202"/>
    <mergeCell ref="S202:T202"/>
    <mergeCell ref="V202:W202"/>
    <mergeCell ref="X202:Y202"/>
    <mergeCell ref="AA202:AB202"/>
    <mergeCell ref="D203:F203"/>
    <mergeCell ref="I203:K203"/>
    <mergeCell ref="L203:M203"/>
    <mergeCell ref="N203:P203"/>
    <mergeCell ref="Q203:R203"/>
    <mergeCell ref="S203:T203"/>
    <mergeCell ref="V203:W203"/>
    <mergeCell ref="X203:Y203"/>
    <mergeCell ref="AA203:AB203"/>
    <mergeCell ref="D204:F204"/>
    <mergeCell ref="I204:K204"/>
    <mergeCell ref="L204:M204"/>
    <mergeCell ref="N204:P204"/>
    <mergeCell ref="Q204:R204"/>
    <mergeCell ref="S204:T204"/>
    <mergeCell ref="V204:W204"/>
    <mergeCell ref="X204:Y204"/>
    <mergeCell ref="AA204:AB204"/>
    <mergeCell ref="D205:F205"/>
    <mergeCell ref="I205:K205"/>
    <mergeCell ref="L205:M205"/>
    <mergeCell ref="N205:P205"/>
    <mergeCell ref="Q205:R205"/>
    <mergeCell ref="S205:T205"/>
    <mergeCell ref="V205:W205"/>
    <mergeCell ref="X205:Y205"/>
    <mergeCell ref="AA205:AB205"/>
    <mergeCell ref="D206:F206"/>
    <mergeCell ref="I206:K206"/>
    <mergeCell ref="L206:M206"/>
    <mergeCell ref="N206:P206"/>
    <mergeCell ref="Q206:R206"/>
    <mergeCell ref="S206:T206"/>
    <mergeCell ref="V206:W206"/>
    <mergeCell ref="X206:Y206"/>
    <mergeCell ref="AA206:AB206"/>
    <mergeCell ref="D207:F207"/>
    <mergeCell ref="I207:K207"/>
    <mergeCell ref="L207:M207"/>
    <mergeCell ref="N207:P207"/>
    <mergeCell ref="Q207:R207"/>
    <mergeCell ref="S207:T207"/>
    <mergeCell ref="V207:W207"/>
    <mergeCell ref="X207:Y207"/>
    <mergeCell ref="AA207:AB207"/>
    <mergeCell ref="D208:F208"/>
    <mergeCell ref="I208:K208"/>
    <mergeCell ref="L208:M208"/>
    <mergeCell ref="N208:P208"/>
    <mergeCell ref="Q208:R208"/>
    <mergeCell ref="S208:T208"/>
    <mergeCell ref="V208:W208"/>
    <mergeCell ref="X208:Y208"/>
    <mergeCell ref="AA208:AB208"/>
    <mergeCell ref="D209:F209"/>
    <mergeCell ref="I209:K209"/>
    <mergeCell ref="L209:M209"/>
    <mergeCell ref="N209:P209"/>
    <mergeCell ref="Q209:R209"/>
    <mergeCell ref="S209:T209"/>
    <mergeCell ref="V209:W209"/>
    <mergeCell ref="X209:Y209"/>
    <mergeCell ref="AA209:AB209"/>
    <mergeCell ref="D210:F210"/>
    <mergeCell ref="I210:K210"/>
    <mergeCell ref="L210:M210"/>
    <mergeCell ref="N210:P210"/>
    <mergeCell ref="Q210:R210"/>
    <mergeCell ref="S210:T210"/>
    <mergeCell ref="V210:W210"/>
    <mergeCell ref="X210:Y210"/>
    <mergeCell ref="AA210:AB210"/>
    <mergeCell ref="D211:F211"/>
    <mergeCell ref="I211:K211"/>
    <mergeCell ref="L211:M211"/>
    <mergeCell ref="N211:P211"/>
    <mergeCell ref="Q211:R211"/>
    <mergeCell ref="S211:T211"/>
    <mergeCell ref="V211:W211"/>
    <mergeCell ref="X211:Y211"/>
    <mergeCell ref="AA211:AB211"/>
    <mergeCell ref="D212:F212"/>
    <mergeCell ref="I212:K212"/>
    <mergeCell ref="L212:M212"/>
    <mergeCell ref="N212:P212"/>
    <mergeCell ref="Q212:R212"/>
    <mergeCell ref="S212:T212"/>
    <mergeCell ref="V212:W212"/>
    <mergeCell ref="X212:Y212"/>
    <mergeCell ref="AA212:AB212"/>
    <mergeCell ref="D213:F213"/>
    <mergeCell ref="I213:K213"/>
    <mergeCell ref="L213:M213"/>
    <mergeCell ref="N213:P213"/>
    <mergeCell ref="Q213:R213"/>
    <mergeCell ref="S213:T213"/>
    <mergeCell ref="V213:W213"/>
    <mergeCell ref="X213:Y213"/>
    <mergeCell ref="AA213:AB213"/>
    <mergeCell ref="D214:F214"/>
    <mergeCell ref="I214:K214"/>
    <mergeCell ref="L214:M214"/>
    <mergeCell ref="N214:P214"/>
    <mergeCell ref="Q214:R214"/>
    <mergeCell ref="S214:T214"/>
    <mergeCell ref="V214:W214"/>
    <mergeCell ref="X214:Y214"/>
    <mergeCell ref="AA214:AB214"/>
    <mergeCell ref="D215:F215"/>
    <mergeCell ref="I215:K215"/>
    <mergeCell ref="L215:M215"/>
    <mergeCell ref="N215:P215"/>
    <mergeCell ref="Q215:R215"/>
    <mergeCell ref="S215:T215"/>
    <mergeCell ref="V215:W215"/>
    <mergeCell ref="X215:Y215"/>
    <mergeCell ref="AA215:AB215"/>
    <mergeCell ref="D216:F216"/>
    <mergeCell ref="I216:K216"/>
    <mergeCell ref="L216:M216"/>
    <mergeCell ref="N216:P216"/>
    <mergeCell ref="Q216:R216"/>
    <mergeCell ref="S216:T216"/>
    <mergeCell ref="V216:W216"/>
    <mergeCell ref="X216:Y216"/>
    <mergeCell ref="AA216:AB216"/>
    <mergeCell ref="D217:F217"/>
    <mergeCell ref="I217:K217"/>
    <mergeCell ref="L217:M217"/>
    <mergeCell ref="N217:P217"/>
    <mergeCell ref="Q217:R217"/>
    <mergeCell ref="S217:T217"/>
    <mergeCell ref="V217:W217"/>
    <mergeCell ref="X217:Y217"/>
    <mergeCell ref="AA217:AB217"/>
    <mergeCell ref="D218:F218"/>
    <mergeCell ref="I218:K218"/>
    <mergeCell ref="L218:M218"/>
    <mergeCell ref="N218:P218"/>
    <mergeCell ref="Q218:R218"/>
    <mergeCell ref="S218:T218"/>
    <mergeCell ref="V218:W218"/>
    <mergeCell ref="X218:Y218"/>
    <mergeCell ref="AA218:AB218"/>
    <mergeCell ref="D219:F219"/>
    <mergeCell ref="I219:K219"/>
    <mergeCell ref="L219:M219"/>
    <mergeCell ref="N219:P219"/>
    <mergeCell ref="Q219:R219"/>
    <mergeCell ref="S219:T219"/>
    <mergeCell ref="V219:W219"/>
    <mergeCell ref="X219:Y219"/>
    <mergeCell ref="AA219:AB219"/>
    <mergeCell ref="D220:F220"/>
    <mergeCell ref="I220:K220"/>
    <mergeCell ref="L220:M220"/>
    <mergeCell ref="N220:P220"/>
    <mergeCell ref="Q220:R220"/>
    <mergeCell ref="S220:T220"/>
    <mergeCell ref="V220:W220"/>
    <mergeCell ref="X220:Y220"/>
    <mergeCell ref="AA220:AB220"/>
    <mergeCell ref="D221:F221"/>
    <mergeCell ref="I221:K221"/>
    <mergeCell ref="L221:M221"/>
    <mergeCell ref="N221:P221"/>
    <mergeCell ref="Q221:R221"/>
    <mergeCell ref="S221:T221"/>
    <mergeCell ref="V221:W221"/>
    <mergeCell ref="X221:Y221"/>
    <mergeCell ref="AA221:AB221"/>
    <mergeCell ref="D222:F222"/>
    <mergeCell ref="I222:K222"/>
    <mergeCell ref="L222:M222"/>
    <mergeCell ref="N222:P222"/>
    <mergeCell ref="Q222:R222"/>
    <mergeCell ref="S222:T222"/>
    <mergeCell ref="V222:W222"/>
    <mergeCell ref="X222:Y222"/>
    <mergeCell ref="AA222:AB222"/>
    <mergeCell ref="D223:F223"/>
    <mergeCell ref="I223:K223"/>
    <mergeCell ref="L223:M223"/>
    <mergeCell ref="N223:P223"/>
    <mergeCell ref="Q223:R223"/>
    <mergeCell ref="S223:T223"/>
    <mergeCell ref="V223:W223"/>
    <mergeCell ref="X223:Y223"/>
    <mergeCell ref="AA223:AB223"/>
    <mergeCell ref="D224:F224"/>
    <mergeCell ref="I224:K224"/>
    <mergeCell ref="L224:M224"/>
    <mergeCell ref="N224:P224"/>
    <mergeCell ref="Q224:R224"/>
    <mergeCell ref="S224:T224"/>
    <mergeCell ref="V224:W224"/>
    <mergeCell ref="X224:Y224"/>
    <mergeCell ref="AA224:AB224"/>
    <mergeCell ref="D225:F225"/>
    <mergeCell ref="I225:K225"/>
    <mergeCell ref="L225:M225"/>
    <mergeCell ref="N225:P225"/>
    <mergeCell ref="Q225:R225"/>
    <mergeCell ref="S225:T225"/>
    <mergeCell ref="V225:W225"/>
    <mergeCell ref="X225:Y225"/>
    <mergeCell ref="AA225:AB225"/>
    <mergeCell ref="D226:F226"/>
    <mergeCell ref="I226:K226"/>
    <mergeCell ref="L226:M226"/>
    <mergeCell ref="N226:P226"/>
    <mergeCell ref="Q226:R226"/>
    <mergeCell ref="S226:T226"/>
    <mergeCell ref="V226:W226"/>
    <mergeCell ref="X226:Y226"/>
    <mergeCell ref="AA226:AB226"/>
    <mergeCell ref="D227:F227"/>
    <mergeCell ref="I227:K227"/>
    <mergeCell ref="L227:M227"/>
    <mergeCell ref="N227:P227"/>
    <mergeCell ref="Q227:R227"/>
    <mergeCell ref="S227:T227"/>
    <mergeCell ref="V227:W227"/>
    <mergeCell ref="X227:Y227"/>
    <mergeCell ref="AA227:AB227"/>
    <mergeCell ref="D228:F228"/>
    <mergeCell ref="I228:K228"/>
    <mergeCell ref="L228:M228"/>
    <mergeCell ref="N228:P228"/>
    <mergeCell ref="Q228:R228"/>
    <mergeCell ref="S228:T228"/>
    <mergeCell ref="V228:W228"/>
    <mergeCell ref="X228:Y228"/>
    <mergeCell ref="AA228:AB228"/>
    <mergeCell ref="D229:F229"/>
    <mergeCell ref="I229:K229"/>
    <mergeCell ref="L229:M229"/>
    <mergeCell ref="N229:P229"/>
    <mergeCell ref="Q229:R229"/>
    <mergeCell ref="S229:T229"/>
    <mergeCell ref="V229:W229"/>
    <mergeCell ref="X229:Y229"/>
    <mergeCell ref="AA229:AB229"/>
    <mergeCell ref="D230:F230"/>
    <mergeCell ref="I230:K230"/>
    <mergeCell ref="L230:M230"/>
    <mergeCell ref="N230:P230"/>
    <mergeCell ref="Q230:R230"/>
    <mergeCell ref="S230:T230"/>
    <mergeCell ref="V230:W230"/>
    <mergeCell ref="X230:Y230"/>
    <mergeCell ref="AA230:AB230"/>
    <mergeCell ref="D231:F231"/>
    <mergeCell ref="I231:K231"/>
    <mergeCell ref="L231:M231"/>
    <mergeCell ref="N231:P231"/>
    <mergeCell ref="Q231:R231"/>
    <mergeCell ref="S231:T231"/>
    <mergeCell ref="V231:W231"/>
    <mergeCell ref="X231:Y231"/>
    <mergeCell ref="AA231:AB231"/>
    <mergeCell ref="D232:F232"/>
    <mergeCell ref="I232:K232"/>
    <mergeCell ref="L232:M232"/>
    <mergeCell ref="N232:P232"/>
    <mergeCell ref="Q232:R232"/>
    <mergeCell ref="S232:T232"/>
    <mergeCell ref="V232:W232"/>
    <mergeCell ref="X232:Y232"/>
    <mergeCell ref="AA232:AB232"/>
    <mergeCell ref="D233:F233"/>
    <mergeCell ref="I233:K233"/>
    <mergeCell ref="L233:M233"/>
    <mergeCell ref="N233:P233"/>
    <mergeCell ref="Q233:R233"/>
    <mergeCell ref="S233:T233"/>
    <mergeCell ref="V233:W233"/>
    <mergeCell ref="X233:Y233"/>
    <mergeCell ref="AA233:AB233"/>
    <mergeCell ref="D234:F234"/>
    <mergeCell ref="I234:K234"/>
    <mergeCell ref="L234:M234"/>
    <mergeCell ref="N234:P234"/>
    <mergeCell ref="Q234:R234"/>
    <mergeCell ref="S234:T234"/>
    <mergeCell ref="V234:W234"/>
    <mergeCell ref="X234:Y234"/>
    <mergeCell ref="AA234:AB234"/>
    <mergeCell ref="D235:F235"/>
    <mergeCell ref="I235:K235"/>
    <mergeCell ref="L235:M235"/>
    <mergeCell ref="N235:P235"/>
    <mergeCell ref="Q235:R235"/>
    <mergeCell ref="S235:T235"/>
    <mergeCell ref="V235:W235"/>
    <mergeCell ref="X235:Y235"/>
    <mergeCell ref="AA235:AB235"/>
    <mergeCell ref="D236:F236"/>
    <mergeCell ref="I236:K236"/>
    <mergeCell ref="L236:M236"/>
    <mergeCell ref="N236:P236"/>
    <mergeCell ref="Q236:R236"/>
    <mergeCell ref="S236:T236"/>
    <mergeCell ref="V236:W236"/>
    <mergeCell ref="X236:Y236"/>
    <mergeCell ref="AA236:AB236"/>
    <mergeCell ref="D237:F237"/>
    <mergeCell ref="I237:K237"/>
    <mergeCell ref="L237:M237"/>
    <mergeCell ref="N237:P237"/>
    <mergeCell ref="Q237:R237"/>
    <mergeCell ref="S237:T237"/>
    <mergeCell ref="V237:W237"/>
    <mergeCell ref="X237:Y237"/>
    <mergeCell ref="AA237:AB237"/>
    <mergeCell ref="D238:F238"/>
    <mergeCell ref="I238:K238"/>
    <mergeCell ref="L238:M238"/>
    <mergeCell ref="N238:P238"/>
    <mergeCell ref="Q238:R238"/>
    <mergeCell ref="S238:T238"/>
    <mergeCell ref="V238:W238"/>
    <mergeCell ref="X238:Y238"/>
    <mergeCell ref="AA238:AB238"/>
    <mergeCell ref="D239:F239"/>
    <mergeCell ref="I239:K239"/>
    <mergeCell ref="L239:M239"/>
    <mergeCell ref="N239:P239"/>
    <mergeCell ref="Q239:R239"/>
    <mergeCell ref="S239:T239"/>
    <mergeCell ref="V239:W239"/>
    <mergeCell ref="X239:Y239"/>
    <mergeCell ref="AA239:AB239"/>
    <mergeCell ref="D240:F240"/>
    <mergeCell ref="I240:K240"/>
    <mergeCell ref="L240:M240"/>
    <mergeCell ref="N240:P240"/>
    <mergeCell ref="Q240:R240"/>
    <mergeCell ref="S240:T240"/>
    <mergeCell ref="V240:W240"/>
    <mergeCell ref="X240:Y240"/>
    <mergeCell ref="AA240:AB240"/>
    <mergeCell ref="D241:F241"/>
    <mergeCell ref="I241:K241"/>
    <mergeCell ref="L241:M241"/>
    <mergeCell ref="N241:P241"/>
    <mergeCell ref="Q241:R241"/>
    <mergeCell ref="S241:T241"/>
    <mergeCell ref="V241:W241"/>
    <mergeCell ref="X241:Y241"/>
    <mergeCell ref="AA241:AB241"/>
    <mergeCell ref="D242:F242"/>
    <mergeCell ref="I242:K242"/>
    <mergeCell ref="L242:M242"/>
    <mergeCell ref="N242:P242"/>
    <mergeCell ref="Q242:R242"/>
    <mergeCell ref="S242:T242"/>
    <mergeCell ref="V242:W242"/>
    <mergeCell ref="X242:Y242"/>
    <mergeCell ref="AA242:AB242"/>
    <mergeCell ref="D243:F243"/>
    <mergeCell ref="I243:K243"/>
    <mergeCell ref="L243:M243"/>
    <mergeCell ref="N243:P243"/>
    <mergeCell ref="Q243:R243"/>
    <mergeCell ref="S243:T243"/>
    <mergeCell ref="V243:W243"/>
    <mergeCell ref="X243:Y243"/>
    <mergeCell ref="AA243:AB243"/>
    <mergeCell ref="D244:F244"/>
    <mergeCell ref="I244:K244"/>
    <mergeCell ref="L244:M244"/>
    <mergeCell ref="N244:P244"/>
    <mergeCell ref="Q244:R244"/>
    <mergeCell ref="S244:T244"/>
    <mergeCell ref="V244:W244"/>
    <mergeCell ref="X244:Y244"/>
    <mergeCell ref="AA244:AB244"/>
    <mergeCell ref="D245:F245"/>
    <mergeCell ref="I245:K245"/>
    <mergeCell ref="L245:M245"/>
    <mergeCell ref="N245:P245"/>
    <mergeCell ref="Q245:R245"/>
    <mergeCell ref="S245:T245"/>
    <mergeCell ref="V245:W245"/>
    <mergeCell ref="X245:Y245"/>
    <mergeCell ref="AA245:AB245"/>
    <mergeCell ref="D246:F246"/>
    <mergeCell ref="I246:K246"/>
    <mergeCell ref="L246:M246"/>
    <mergeCell ref="N246:P246"/>
    <mergeCell ref="Q246:R246"/>
    <mergeCell ref="S246:T246"/>
    <mergeCell ref="V246:W246"/>
    <mergeCell ref="X246:Y246"/>
    <mergeCell ref="AA246:AB246"/>
    <mergeCell ref="D247:F247"/>
    <mergeCell ref="I247:K247"/>
    <mergeCell ref="L247:M247"/>
    <mergeCell ref="N247:P247"/>
    <mergeCell ref="Q247:R247"/>
    <mergeCell ref="S247:T247"/>
    <mergeCell ref="V247:W247"/>
    <mergeCell ref="X247:Y247"/>
    <mergeCell ref="AA247:AB247"/>
    <mergeCell ref="D248:F248"/>
    <mergeCell ref="I248:K248"/>
    <mergeCell ref="L248:M248"/>
    <mergeCell ref="N248:P248"/>
    <mergeCell ref="Q248:R248"/>
    <mergeCell ref="S248:T248"/>
    <mergeCell ref="V248:W248"/>
    <mergeCell ref="X248:Y248"/>
    <mergeCell ref="AA248:AB248"/>
    <mergeCell ref="D249:F249"/>
    <mergeCell ref="I249:K249"/>
    <mergeCell ref="L249:M249"/>
    <mergeCell ref="N249:P249"/>
    <mergeCell ref="Q249:R249"/>
    <mergeCell ref="S249:T249"/>
    <mergeCell ref="V249:W249"/>
    <mergeCell ref="X249:Y249"/>
    <mergeCell ref="AA249:AB249"/>
    <mergeCell ref="D250:F250"/>
    <mergeCell ref="I250:K250"/>
    <mergeCell ref="L250:M250"/>
    <mergeCell ref="N250:P250"/>
    <mergeCell ref="Q250:R250"/>
    <mergeCell ref="S250:T250"/>
    <mergeCell ref="V250:W250"/>
    <mergeCell ref="X250:Y250"/>
    <mergeCell ref="AA250:AB250"/>
    <mergeCell ref="D251:F251"/>
    <mergeCell ref="I251:K251"/>
    <mergeCell ref="L251:M251"/>
    <mergeCell ref="N251:P251"/>
    <mergeCell ref="Q251:R251"/>
    <mergeCell ref="S251:T251"/>
    <mergeCell ref="V251:W251"/>
    <mergeCell ref="X251:Y251"/>
    <mergeCell ref="AA251:AB251"/>
    <mergeCell ref="D252:F252"/>
    <mergeCell ref="I252:K252"/>
    <mergeCell ref="L252:M252"/>
    <mergeCell ref="N252:P252"/>
    <mergeCell ref="Q252:R252"/>
    <mergeCell ref="S252:T252"/>
    <mergeCell ref="V252:W252"/>
    <mergeCell ref="X252:Y252"/>
    <mergeCell ref="AA252:AB252"/>
    <mergeCell ref="D253:F253"/>
    <mergeCell ref="I253:K253"/>
    <mergeCell ref="L253:M253"/>
    <mergeCell ref="N253:P253"/>
    <mergeCell ref="Q253:R253"/>
    <mergeCell ref="S253:T253"/>
    <mergeCell ref="V253:W253"/>
    <mergeCell ref="X253:Y253"/>
    <mergeCell ref="AA253:AB253"/>
    <mergeCell ref="D254:F254"/>
    <mergeCell ref="I254:K254"/>
    <mergeCell ref="L254:M254"/>
    <mergeCell ref="N254:P254"/>
    <mergeCell ref="Q254:R254"/>
    <mergeCell ref="S254:T254"/>
    <mergeCell ref="V254:W254"/>
    <mergeCell ref="X254:Y254"/>
    <mergeCell ref="AA254:AB254"/>
    <mergeCell ref="D255:F255"/>
    <mergeCell ref="I255:K255"/>
    <mergeCell ref="L255:M255"/>
    <mergeCell ref="N255:P255"/>
    <mergeCell ref="Q255:R255"/>
    <mergeCell ref="S255:T255"/>
    <mergeCell ref="V255:W255"/>
    <mergeCell ref="X255:Y255"/>
    <mergeCell ref="AA255:AB255"/>
    <mergeCell ref="D256:F256"/>
    <mergeCell ref="I256:K256"/>
    <mergeCell ref="L256:M256"/>
    <mergeCell ref="N256:P256"/>
    <mergeCell ref="Q256:R256"/>
    <mergeCell ref="S256:T256"/>
    <mergeCell ref="V256:W256"/>
    <mergeCell ref="X256:Y256"/>
    <mergeCell ref="AA256:AB256"/>
    <mergeCell ref="D257:F257"/>
    <mergeCell ref="I257:K257"/>
    <mergeCell ref="L257:M257"/>
    <mergeCell ref="N257:P257"/>
    <mergeCell ref="Q257:R257"/>
    <mergeCell ref="S257:T257"/>
    <mergeCell ref="V257:W257"/>
    <mergeCell ref="X257:Y257"/>
    <mergeCell ref="AA257:AB257"/>
    <mergeCell ref="D258:F258"/>
    <mergeCell ref="I258:K258"/>
    <mergeCell ref="L258:M258"/>
    <mergeCell ref="N258:P258"/>
    <mergeCell ref="Q258:R258"/>
    <mergeCell ref="S258:T258"/>
    <mergeCell ref="V258:W258"/>
    <mergeCell ref="X258:Y258"/>
    <mergeCell ref="AA258:AB258"/>
    <mergeCell ref="D259:F259"/>
    <mergeCell ref="I259:K259"/>
    <mergeCell ref="L259:M259"/>
    <mergeCell ref="N259:P259"/>
    <mergeCell ref="Q259:R259"/>
    <mergeCell ref="S259:T259"/>
    <mergeCell ref="V259:W259"/>
    <mergeCell ref="X259:Y259"/>
    <mergeCell ref="AA259:AB259"/>
    <mergeCell ref="D260:F260"/>
    <mergeCell ref="I260:K260"/>
    <mergeCell ref="L260:M260"/>
    <mergeCell ref="N260:P260"/>
    <mergeCell ref="Q260:R260"/>
    <mergeCell ref="S260:T260"/>
    <mergeCell ref="V260:W260"/>
    <mergeCell ref="X260:Y260"/>
    <mergeCell ref="AA260:AB260"/>
    <mergeCell ref="D261:F261"/>
    <mergeCell ref="I261:K261"/>
    <mergeCell ref="L261:M261"/>
    <mergeCell ref="N261:P261"/>
    <mergeCell ref="Q261:R261"/>
    <mergeCell ref="S261:T261"/>
    <mergeCell ref="V261:W261"/>
    <mergeCell ref="X261:Y261"/>
    <mergeCell ref="AA261:AB261"/>
    <mergeCell ref="D262:F262"/>
    <mergeCell ref="I262:K262"/>
    <mergeCell ref="L262:M262"/>
    <mergeCell ref="N262:P262"/>
    <mergeCell ref="Q262:R262"/>
    <mergeCell ref="S262:T262"/>
    <mergeCell ref="V262:W262"/>
    <mergeCell ref="X262:Y262"/>
    <mergeCell ref="AA262:AB262"/>
    <mergeCell ref="D263:F263"/>
    <mergeCell ref="I263:K263"/>
    <mergeCell ref="L263:M263"/>
    <mergeCell ref="N263:P263"/>
    <mergeCell ref="Q263:R263"/>
    <mergeCell ref="S263:T263"/>
    <mergeCell ref="V263:W263"/>
    <mergeCell ref="X263:Y263"/>
    <mergeCell ref="AA263:AB263"/>
    <mergeCell ref="D264:F264"/>
    <mergeCell ref="I264:K264"/>
    <mergeCell ref="L264:M264"/>
    <mergeCell ref="N264:P264"/>
    <mergeCell ref="Q264:R264"/>
    <mergeCell ref="S264:T264"/>
    <mergeCell ref="V264:W264"/>
    <mergeCell ref="X264:Y264"/>
    <mergeCell ref="AA264:AB264"/>
    <mergeCell ref="D265:F265"/>
    <mergeCell ref="I265:K265"/>
    <mergeCell ref="L265:M265"/>
    <mergeCell ref="N265:P265"/>
    <mergeCell ref="Q265:R265"/>
    <mergeCell ref="S265:T265"/>
    <mergeCell ref="V265:W265"/>
    <mergeCell ref="X265:Y265"/>
    <mergeCell ref="AA265:AB265"/>
    <mergeCell ref="D266:F266"/>
    <mergeCell ref="I266:K266"/>
    <mergeCell ref="L266:M266"/>
    <mergeCell ref="N266:P266"/>
    <mergeCell ref="Q266:R266"/>
    <mergeCell ref="S266:T266"/>
    <mergeCell ref="V266:W266"/>
    <mergeCell ref="X266:Y266"/>
    <mergeCell ref="AA266:AB266"/>
    <mergeCell ref="D267:F267"/>
    <mergeCell ref="I267:K267"/>
    <mergeCell ref="L267:M267"/>
    <mergeCell ref="N267:P267"/>
    <mergeCell ref="Q267:R267"/>
    <mergeCell ref="S267:T267"/>
    <mergeCell ref="V267:W267"/>
    <mergeCell ref="X267:Y267"/>
    <mergeCell ref="AA267:AB267"/>
    <mergeCell ref="D268:F268"/>
    <mergeCell ref="I268:K268"/>
    <mergeCell ref="L268:M268"/>
    <mergeCell ref="N268:P268"/>
    <mergeCell ref="Q268:R268"/>
    <mergeCell ref="S268:T268"/>
    <mergeCell ref="V268:W268"/>
    <mergeCell ref="X268:Y268"/>
    <mergeCell ref="AA268:AB268"/>
    <mergeCell ref="D269:F269"/>
    <mergeCell ref="I269:K269"/>
    <mergeCell ref="L269:M269"/>
    <mergeCell ref="N269:P269"/>
    <mergeCell ref="Q269:R269"/>
    <mergeCell ref="S269:T269"/>
    <mergeCell ref="V269:W269"/>
    <mergeCell ref="X269:Y269"/>
    <mergeCell ref="AA269:AB269"/>
    <mergeCell ref="D270:F270"/>
    <mergeCell ref="I270:K270"/>
    <mergeCell ref="L270:M270"/>
    <mergeCell ref="N270:P270"/>
    <mergeCell ref="Q270:R270"/>
    <mergeCell ref="S270:T270"/>
    <mergeCell ref="V270:W270"/>
    <mergeCell ref="X270:Y270"/>
    <mergeCell ref="AA270:AB270"/>
    <mergeCell ref="D271:F271"/>
    <mergeCell ref="I271:K271"/>
    <mergeCell ref="L271:M271"/>
    <mergeCell ref="N271:P271"/>
    <mergeCell ref="Q271:R271"/>
    <mergeCell ref="S271:T271"/>
    <mergeCell ref="V271:W271"/>
    <mergeCell ref="X271:Y271"/>
    <mergeCell ref="AA271:AB271"/>
    <mergeCell ref="D272:F272"/>
    <mergeCell ref="I272:K272"/>
    <mergeCell ref="L272:M272"/>
    <mergeCell ref="N272:P272"/>
    <mergeCell ref="Q272:R272"/>
    <mergeCell ref="S272:T272"/>
    <mergeCell ref="V272:W272"/>
    <mergeCell ref="X272:Y272"/>
    <mergeCell ref="AA272:AB272"/>
    <mergeCell ref="D273:F273"/>
    <mergeCell ref="I273:K273"/>
    <mergeCell ref="L273:M273"/>
    <mergeCell ref="N273:P273"/>
    <mergeCell ref="Q273:R273"/>
    <mergeCell ref="S273:T273"/>
    <mergeCell ref="V273:W273"/>
    <mergeCell ref="X273:Y273"/>
    <mergeCell ref="AA273:AB273"/>
    <mergeCell ref="D274:F274"/>
    <mergeCell ref="I274:K274"/>
    <mergeCell ref="L274:M274"/>
    <mergeCell ref="N274:P274"/>
    <mergeCell ref="Q274:R274"/>
    <mergeCell ref="S274:T274"/>
    <mergeCell ref="V274:W274"/>
    <mergeCell ref="X274:Y274"/>
    <mergeCell ref="AA274:AB274"/>
    <mergeCell ref="D275:F275"/>
    <mergeCell ref="I275:K275"/>
    <mergeCell ref="L275:M275"/>
    <mergeCell ref="N275:P275"/>
    <mergeCell ref="Q275:R275"/>
    <mergeCell ref="S275:T275"/>
    <mergeCell ref="V275:W275"/>
    <mergeCell ref="X275:Y275"/>
    <mergeCell ref="AA275:AB275"/>
    <mergeCell ref="D276:F276"/>
    <mergeCell ref="I276:K276"/>
    <mergeCell ref="L276:M276"/>
    <mergeCell ref="N276:P276"/>
    <mergeCell ref="Q276:R276"/>
    <mergeCell ref="S276:T276"/>
    <mergeCell ref="V276:W276"/>
    <mergeCell ref="X276:Y276"/>
    <mergeCell ref="AA276:AB276"/>
    <mergeCell ref="D277:F277"/>
    <mergeCell ref="I277:K277"/>
    <mergeCell ref="L277:M277"/>
    <mergeCell ref="N277:P277"/>
    <mergeCell ref="Q277:R277"/>
    <mergeCell ref="S277:T277"/>
    <mergeCell ref="V277:W277"/>
    <mergeCell ref="X277:Y277"/>
    <mergeCell ref="AA277:AB277"/>
    <mergeCell ref="D278:F278"/>
    <mergeCell ref="I278:K278"/>
    <mergeCell ref="L278:M278"/>
    <mergeCell ref="N278:P278"/>
    <mergeCell ref="Q278:R278"/>
    <mergeCell ref="S278:T278"/>
    <mergeCell ref="V278:W278"/>
    <mergeCell ref="X278:Y278"/>
    <mergeCell ref="AA278:AB278"/>
    <mergeCell ref="D279:F279"/>
    <mergeCell ref="I279:K279"/>
    <mergeCell ref="L279:M279"/>
    <mergeCell ref="N279:P279"/>
    <mergeCell ref="Q279:R279"/>
    <mergeCell ref="S279:T279"/>
    <mergeCell ref="V279:W279"/>
    <mergeCell ref="X279:Y279"/>
    <mergeCell ref="AA279:AB279"/>
    <mergeCell ref="D280:F280"/>
    <mergeCell ref="I280:K280"/>
    <mergeCell ref="L280:M280"/>
    <mergeCell ref="N280:P280"/>
    <mergeCell ref="Q280:R280"/>
    <mergeCell ref="S280:T280"/>
    <mergeCell ref="V280:W280"/>
    <mergeCell ref="X280:Y280"/>
    <mergeCell ref="AA280:AB280"/>
    <mergeCell ref="D281:F281"/>
    <mergeCell ref="I281:K281"/>
    <mergeCell ref="L281:M281"/>
    <mergeCell ref="N281:P281"/>
    <mergeCell ref="Q281:R281"/>
    <mergeCell ref="S281:T281"/>
    <mergeCell ref="V281:W281"/>
    <mergeCell ref="X281:Y281"/>
    <mergeCell ref="AA281:AB281"/>
    <mergeCell ref="D282:F282"/>
    <mergeCell ref="I282:K282"/>
    <mergeCell ref="L282:M282"/>
    <mergeCell ref="N282:P282"/>
    <mergeCell ref="Q282:R282"/>
    <mergeCell ref="S282:T282"/>
    <mergeCell ref="V282:W282"/>
    <mergeCell ref="X282:Y282"/>
    <mergeCell ref="AA282:AB282"/>
    <mergeCell ref="D283:F283"/>
    <mergeCell ref="I283:K283"/>
    <mergeCell ref="L283:M283"/>
    <mergeCell ref="N283:P283"/>
    <mergeCell ref="Q283:R283"/>
    <mergeCell ref="S283:T283"/>
    <mergeCell ref="V283:W283"/>
    <mergeCell ref="X283:Y283"/>
    <mergeCell ref="AA283:AB283"/>
    <mergeCell ref="D284:F284"/>
    <mergeCell ref="I284:K284"/>
    <mergeCell ref="L284:M284"/>
    <mergeCell ref="N284:P284"/>
    <mergeCell ref="Q284:R284"/>
    <mergeCell ref="S284:T284"/>
    <mergeCell ref="V284:W284"/>
    <mergeCell ref="X284:Y284"/>
    <mergeCell ref="AA284:AB284"/>
    <mergeCell ref="D285:F285"/>
    <mergeCell ref="I285:K285"/>
    <mergeCell ref="L285:M285"/>
    <mergeCell ref="N285:P285"/>
    <mergeCell ref="Q285:R285"/>
    <mergeCell ref="S285:T285"/>
    <mergeCell ref="V285:W285"/>
    <mergeCell ref="X285:Y285"/>
    <mergeCell ref="AA285:AB285"/>
    <mergeCell ref="D286:F286"/>
    <mergeCell ref="I286:K286"/>
    <mergeCell ref="L286:M286"/>
    <mergeCell ref="N286:P286"/>
    <mergeCell ref="Q286:R286"/>
    <mergeCell ref="S286:T286"/>
    <mergeCell ref="V286:W286"/>
    <mergeCell ref="X286:Y286"/>
    <mergeCell ref="AA286:AB286"/>
    <mergeCell ref="D287:F287"/>
    <mergeCell ref="I287:K287"/>
    <mergeCell ref="L287:M287"/>
    <mergeCell ref="N287:P287"/>
    <mergeCell ref="Q287:R287"/>
    <mergeCell ref="S287:T287"/>
    <mergeCell ref="V287:W287"/>
    <mergeCell ref="X287:Y287"/>
    <mergeCell ref="AA287:AB287"/>
    <mergeCell ref="D288:F288"/>
    <mergeCell ref="I288:K288"/>
    <mergeCell ref="L288:M288"/>
    <mergeCell ref="N288:P288"/>
    <mergeCell ref="Q288:R288"/>
    <mergeCell ref="S288:T288"/>
    <mergeCell ref="V288:W288"/>
    <mergeCell ref="X288:Y288"/>
    <mergeCell ref="AA288:AB288"/>
    <mergeCell ref="D289:F289"/>
    <mergeCell ref="I289:K289"/>
    <mergeCell ref="L289:M289"/>
    <mergeCell ref="N289:P289"/>
    <mergeCell ref="Q289:R289"/>
    <mergeCell ref="S289:T289"/>
    <mergeCell ref="V289:W289"/>
    <mergeCell ref="X289:Y289"/>
    <mergeCell ref="AA289:AB289"/>
    <mergeCell ref="D290:F290"/>
    <mergeCell ref="I290:K290"/>
    <mergeCell ref="L290:M290"/>
    <mergeCell ref="N290:P290"/>
    <mergeCell ref="Q290:R290"/>
    <mergeCell ref="S290:T290"/>
    <mergeCell ref="V290:W290"/>
    <mergeCell ref="X290:Y290"/>
    <mergeCell ref="AA290:AB290"/>
    <mergeCell ref="D291:F291"/>
    <mergeCell ref="I291:K291"/>
    <mergeCell ref="L291:M291"/>
    <mergeCell ref="N291:P291"/>
    <mergeCell ref="Q291:R291"/>
    <mergeCell ref="S291:T291"/>
    <mergeCell ref="V291:W291"/>
    <mergeCell ref="X291:Y291"/>
    <mergeCell ref="AA291:AB291"/>
    <mergeCell ref="D292:F292"/>
    <mergeCell ref="I292:K292"/>
    <mergeCell ref="L292:M292"/>
    <mergeCell ref="N292:P292"/>
    <mergeCell ref="Q292:R292"/>
    <mergeCell ref="S292:T292"/>
    <mergeCell ref="V292:W292"/>
    <mergeCell ref="X292:Y292"/>
    <mergeCell ref="AA292:AB292"/>
    <mergeCell ref="D293:F293"/>
    <mergeCell ref="I293:K293"/>
    <mergeCell ref="L293:M293"/>
    <mergeCell ref="N293:P293"/>
    <mergeCell ref="Q293:R293"/>
    <mergeCell ref="S293:T293"/>
    <mergeCell ref="V293:W293"/>
    <mergeCell ref="X293:Y293"/>
    <mergeCell ref="AA293:AB293"/>
    <mergeCell ref="D294:F294"/>
    <mergeCell ref="I294:K294"/>
    <mergeCell ref="L294:M294"/>
    <mergeCell ref="N294:P294"/>
    <mergeCell ref="Q294:R294"/>
    <mergeCell ref="S294:T294"/>
    <mergeCell ref="V294:W294"/>
    <mergeCell ref="X294:Y294"/>
    <mergeCell ref="AA294:AB294"/>
    <mergeCell ref="D295:F295"/>
    <mergeCell ref="I295:K295"/>
    <mergeCell ref="L295:M295"/>
    <mergeCell ref="N295:P295"/>
    <mergeCell ref="Q295:R295"/>
    <mergeCell ref="S295:T295"/>
    <mergeCell ref="V295:W295"/>
    <mergeCell ref="X295:Y295"/>
    <mergeCell ref="AA295:AB295"/>
    <mergeCell ref="D296:F296"/>
    <mergeCell ref="I296:K296"/>
    <mergeCell ref="L296:M296"/>
    <mergeCell ref="N296:P296"/>
    <mergeCell ref="Q296:R296"/>
    <mergeCell ref="S296:T296"/>
    <mergeCell ref="V296:W296"/>
    <mergeCell ref="X296:Y296"/>
    <mergeCell ref="AA296:AB296"/>
    <mergeCell ref="D297:F297"/>
    <mergeCell ref="I297:K297"/>
    <mergeCell ref="L297:M297"/>
    <mergeCell ref="N297:P297"/>
    <mergeCell ref="Q297:R297"/>
    <mergeCell ref="S297:T297"/>
    <mergeCell ref="V297:W297"/>
    <mergeCell ref="X297:Y297"/>
    <mergeCell ref="AA297:AB297"/>
    <mergeCell ref="D298:F298"/>
    <mergeCell ref="I298:K298"/>
    <mergeCell ref="L298:M298"/>
    <mergeCell ref="N298:P298"/>
    <mergeCell ref="Q298:R298"/>
    <mergeCell ref="S298:T298"/>
    <mergeCell ref="V298:W298"/>
    <mergeCell ref="X298:Y298"/>
    <mergeCell ref="AA298:AB298"/>
    <mergeCell ref="D299:F299"/>
    <mergeCell ref="I299:K299"/>
    <mergeCell ref="L299:M299"/>
    <mergeCell ref="N299:P299"/>
    <mergeCell ref="Q299:R299"/>
    <mergeCell ref="S299:T299"/>
    <mergeCell ref="V299:W299"/>
    <mergeCell ref="X299:Y299"/>
    <mergeCell ref="AA299:AB299"/>
    <mergeCell ref="D300:F300"/>
    <mergeCell ref="I300:K300"/>
    <mergeCell ref="L300:M300"/>
    <mergeCell ref="N300:P300"/>
    <mergeCell ref="Q300:R300"/>
    <mergeCell ref="S300:T300"/>
    <mergeCell ref="V300:W300"/>
    <mergeCell ref="X300:Y300"/>
    <mergeCell ref="AA300:AB300"/>
    <mergeCell ref="D301:F301"/>
    <mergeCell ref="I301:K301"/>
    <mergeCell ref="L301:M301"/>
    <mergeCell ref="N301:P301"/>
    <mergeCell ref="Q301:R301"/>
    <mergeCell ref="S301:T301"/>
    <mergeCell ref="V301:W301"/>
    <mergeCell ref="X301:Y301"/>
    <mergeCell ref="AA301:AB301"/>
    <mergeCell ref="D302:F302"/>
    <mergeCell ref="I302:K302"/>
    <mergeCell ref="L302:M302"/>
    <mergeCell ref="N302:P302"/>
    <mergeCell ref="Q302:R302"/>
    <mergeCell ref="S302:T302"/>
    <mergeCell ref="V302:W302"/>
    <mergeCell ref="X302:Y302"/>
    <mergeCell ref="AA302:AB302"/>
    <mergeCell ref="D303:F303"/>
    <mergeCell ref="I303:K303"/>
    <mergeCell ref="L303:M303"/>
    <mergeCell ref="N303:P303"/>
    <mergeCell ref="Q303:R303"/>
    <mergeCell ref="S303:T303"/>
    <mergeCell ref="V303:W303"/>
    <mergeCell ref="X303:Y303"/>
    <mergeCell ref="AA303:AB303"/>
    <mergeCell ref="D304:F304"/>
    <mergeCell ref="I304:K304"/>
    <mergeCell ref="L304:M304"/>
    <mergeCell ref="N304:P304"/>
    <mergeCell ref="Q304:R304"/>
    <mergeCell ref="S304:T304"/>
    <mergeCell ref="V304:W304"/>
    <mergeCell ref="X304:Y304"/>
    <mergeCell ref="AA304:AB304"/>
    <mergeCell ref="D305:F305"/>
    <mergeCell ref="I305:K305"/>
    <mergeCell ref="L305:M305"/>
    <mergeCell ref="N305:P305"/>
    <mergeCell ref="Q305:R305"/>
    <mergeCell ref="S305:T305"/>
    <mergeCell ref="V305:W305"/>
    <mergeCell ref="X305:Y305"/>
    <mergeCell ref="AA305:AB305"/>
    <mergeCell ref="D306:F306"/>
    <mergeCell ref="I306:K306"/>
    <mergeCell ref="L306:M306"/>
    <mergeCell ref="N306:P306"/>
    <mergeCell ref="Q306:R306"/>
    <mergeCell ref="S306:T306"/>
    <mergeCell ref="V306:W306"/>
    <mergeCell ref="X306:Y306"/>
    <mergeCell ref="AA306:AB306"/>
    <mergeCell ref="D307:F307"/>
    <mergeCell ref="I307:K307"/>
    <mergeCell ref="L307:M307"/>
    <mergeCell ref="N307:P307"/>
    <mergeCell ref="Q307:R307"/>
    <mergeCell ref="S307:T307"/>
    <mergeCell ref="V307:W307"/>
    <mergeCell ref="X307:Y307"/>
    <mergeCell ref="AA307:AB307"/>
    <mergeCell ref="D308:F308"/>
    <mergeCell ref="I308:K308"/>
    <mergeCell ref="L308:M308"/>
    <mergeCell ref="N308:P308"/>
    <mergeCell ref="Q308:R308"/>
    <mergeCell ref="S308:T308"/>
    <mergeCell ref="V308:W308"/>
    <mergeCell ref="X308:Y308"/>
    <mergeCell ref="AA308:AB308"/>
    <mergeCell ref="D309:F309"/>
    <mergeCell ref="I309:K309"/>
    <mergeCell ref="L309:M309"/>
    <mergeCell ref="N309:P309"/>
    <mergeCell ref="Q309:R309"/>
    <mergeCell ref="S309:T309"/>
    <mergeCell ref="V309:W309"/>
    <mergeCell ref="X309:Y309"/>
    <mergeCell ref="AA309:AB309"/>
    <mergeCell ref="D310:F310"/>
    <mergeCell ref="I310:K310"/>
    <mergeCell ref="L310:M310"/>
    <mergeCell ref="N310:P310"/>
    <mergeCell ref="Q310:R310"/>
    <mergeCell ref="S310:T310"/>
    <mergeCell ref="V310:W310"/>
    <mergeCell ref="X310:Y310"/>
    <mergeCell ref="AA310:AB310"/>
    <mergeCell ref="D311:F311"/>
    <mergeCell ref="I311:K311"/>
    <mergeCell ref="L311:M311"/>
    <mergeCell ref="N311:P311"/>
    <mergeCell ref="Q311:R311"/>
    <mergeCell ref="S311:T311"/>
    <mergeCell ref="V311:W311"/>
    <mergeCell ref="X311:Y311"/>
    <mergeCell ref="AA311:AB311"/>
    <mergeCell ref="D312:F312"/>
    <mergeCell ref="I312:K312"/>
    <mergeCell ref="L312:M312"/>
    <mergeCell ref="N312:P312"/>
    <mergeCell ref="Q312:R312"/>
    <mergeCell ref="S312:T312"/>
    <mergeCell ref="V312:W312"/>
    <mergeCell ref="X312:Y312"/>
    <mergeCell ref="AA312:AB312"/>
    <mergeCell ref="D313:F313"/>
    <mergeCell ref="I313:K313"/>
    <mergeCell ref="L313:M313"/>
    <mergeCell ref="N313:P313"/>
    <mergeCell ref="Q313:R313"/>
    <mergeCell ref="S313:T313"/>
    <mergeCell ref="V313:W313"/>
    <mergeCell ref="X313:Y313"/>
    <mergeCell ref="AA313:AB313"/>
    <mergeCell ref="D314:F314"/>
    <mergeCell ref="I314:K314"/>
    <mergeCell ref="L314:M314"/>
    <mergeCell ref="N314:P314"/>
    <mergeCell ref="Q314:R314"/>
    <mergeCell ref="S314:T314"/>
    <mergeCell ref="V314:W314"/>
    <mergeCell ref="X314:Y314"/>
    <mergeCell ref="AA314:AB314"/>
    <mergeCell ref="D315:F315"/>
    <mergeCell ref="I315:K315"/>
    <mergeCell ref="L315:M315"/>
    <mergeCell ref="N315:P315"/>
    <mergeCell ref="Q315:R315"/>
    <mergeCell ref="S315:T315"/>
    <mergeCell ref="V315:W315"/>
    <mergeCell ref="X315:Y315"/>
    <mergeCell ref="AA315:AB315"/>
    <mergeCell ref="D316:F316"/>
    <mergeCell ref="I316:K316"/>
    <mergeCell ref="L316:M316"/>
    <mergeCell ref="N316:P316"/>
    <mergeCell ref="Q316:R316"/>
    <mergeCell ref="S316:T316"/>
    <mergeCell ref="V316:W316"/>
    <mergeCell ref="X316:Y316"/>
    <mergeCell ref="AA316:AB316"/>
    <mergeCell ref="D317:F317"/>
    <mergeCell ref="I317:K317"/>
    <mergeCell ref="L317:M317"/>
    <mergeCell ref="N317:P317"/>
    <mergeCell ref="Q317:R317"/>
    <mergeCell ref="S317:T317"/>
    <mergeCell ref="V317:W317"/>
    <mergeCell ref="X317:Y317"/>
    <mergeCell ref="AA317:AB317"/>
    <mergeCell ref="D318:F318"/>
    <mergeCell ref="I318:K318"/>
    <mergeCell ref="L318:M318"/>
    <mergeCell ref="N318:P318"/>
    <mergeCell ref="Q318:R318"/>
    <mergeCell ref="S318:T318"/>
    <mergeCell ref="V318:W318"/>
    <mergeCell ref="X318:Y318"/>
    <mergeCell ref="AA318:AB318"/>
    <mergeCell ref="D319:F319"/>
    <mergeCell ref="I319:K319"/>
    <mergeCell ref="L319:M319"/>
    <mergeCell ref="N319:P319"/>
    <mergeCell ref="Q319:R319"/>
    <mergeCell ref="S319:T319"/>
    <mergeCell ref="V319:W319"/>
    <mergeCell ref="X319:Y319"/>
    <mergeCell ref="AA319:AB319"/>
    <mergeCell ref="D320:F320"/>
    <mergeCell ref="I320:K320"/>
    <mergeCell ref="L320:M320"/>
    <mergeCell ref="N320:P320"/>
    <mergeCell ref="Q320:R320"/>
    <mergeCell ref="S320:T320"/>
    <mergeCell ref="V320:W320"/>
    <mergeCell ref="X320:Y320"/>
    <mergeCell ref="AA320:AB320"/>
    <mergeCell ref="D321:F321"/>
    <mergeCell ref="I321:K321"/>
    <mergeCell ref="L321:M321"/>
    <mergeCell ref="N321:P321"/>
    <mergeCell ref="Q321:R321"/>
    <mergeCell ref="S321:T321"/>
    <mergeCell ref="V321:W321"/>
    <mergeCell ref="X321:Y321"/>
    <mergeCell ref="AA321:AB321"/>
    <mergeCell ref="D322:F322"/>
    <mergeCell ref="I322:K322"/>
    <mergeCell ref="L322:M322"/>
    <mergeCell ref="N322:P322"/>
    <mergeCell ref="Q322:R322"/>
    <mergeCell ref="S322:T322"/>
    <mergeCell ref="V322:W322"/>
    <mergeCell ref="X322:Y322"/>
    <mergeCell ref="AA322:AB322"/>
    <mergeCell ref="D323:F323"/>
    <mergeCell ref="I323:K323"/>
    <mergeCell ref="L323:M323"/>
    <mergeCell ref="N323:P323"/>
    <mergeCell ref="Q323:R323"/>
    <mergeCell ref="S323:T323"/>
    <mergeCell ref="V323:W323"/>
    <mergeCell ref="X323:Y323"/>
    <mergeCell ref="AA323:AB323"/>
    <mergeCell ref="D324:F324"/>
    <mergeCell ref="I324:K324"/>
    <mergeCell ref="L324:M324"/>
    <mergeCell ref="N324:P324"/>
    <mergeCell ref="Q324:R324"/>
    <mergeCell ref="S324:T324"/>
    <mergeCell ref="V324:W324"/>
    <mergeCell ref="X324:Y324"/>
    <mergeCell ref="AA324:AB324"/>
    <mergeCell ref="D325:F325"/>
    <mergeCell ref="I325:K325"/>
    <mergeCell ref="L325:M325"/>
    <mergeCell ref="N325:P325"/>
    <mergeCell ref="Q325:R325"/>
    <mergeCell ref="S325:T325"/>
    <mergeCell ref="V325:W325"/>
    <mergeCell ref="X325:Y325"/>
    <mergeCell ref="AA325:AB325"/>
    <mergeCell ref="D326:F326"/>
    <mergeCell ref="I326:K326"/>
    <mergeCell ref="L326:M326"/>
    <mergeCell ref="N326:P326"/>
    <mergeCell ref="Q326:R326"/>
    <mergeCell ref="S326:T326"/>
    <mergeCell ref="V326:W326"/>
    <mergeCell ref="X326:Y326"/>
    <mergeCell ref="AA326:AB326"/>
    <mergeCell ref="D327:F327"/>
    <mergeCell ref="I327:K327"/>
    <mergeCell ref="L327:M327"/>
    <mergeCell ref="N327:P327"/>
    <mergeCell ref="Q327:R327"/>
    <mergeCell ref="S327:T327"/>
    <mergeCell ref="V327:W327"/>
    <mergeCell ref="X327:Y327"/>
    <mergeCell ref="AA327:AB327"/>
    <mergeCell ref="D328:F328"/>
    <mergeCell ref="I328:K328"/>
    <mergeCell ref="L328:M328"/>
    <mergeCell ref="N328:P328"/>
    <mergeCell ref="Q328:R328"/>
    <mergeCell ref="S328:T328"/>
    <mergeCell ref="V328:W328"/>
    <mergeCell ref="X328:Y328"/>
    <mergeCell ref="AA328:AB328"/>
    <mergeCell ref="D329:F329"/>
    <mergeCell ref="I329:K329"/>
    <mergeCell ref="L329:M329"/>
    <mergeCell ref="N329:P329"/>
    <mergeCell ref="Q329:R329"/>
    <mergeCell ref="S329:T329"/>
    <mergeCell ref="V329:W329"/>
    <mergeCell ref="X329:Y329"/>
    <mergeCell ref="AA329:AB329"/>
    <mergeCell ref="D330:F330"/>
    <mergeCell ref="I330:K330"/>
    <mergeCell ref="L330:M330"/>
    <mergeCell ref="N330:P330"/>
    <mergeCell ref="Q330:R330"/>
    <mergeCell ref="S330:T330"/>
    <mergeCell ref="V330:W330"/>
    <mergeCell ref="X330:Y330"/>
    <mergeCell ref="AA330:AB330"/>
    <mergeCell ref="D331:F331"/>
    <mergeCell ref="I331:K331"/>
    <mergeCell ref="L331:M331"/>
    <mergeCell ref="N331:P331"/>
    <mergeCell ref="Q331:R331"/>
    <mergeCell ref="S331:T331"/>
    <mergeCell ref="V331:W331"/>
    <mergeCell ref="X331:Y331"/>
    <mergeCell ref="AA331:AB331"/>
    <mergeCell ref="D332:F332"/>
    <mergeCell ref="I332:K332"/>
    <mergeCell ref="L332:M332"/>
    <mergeCell ref="N332:P332"/>
    <mergeCell ref="Q332:R332"/>
    <mergeCell ref="S332:T332"/>
    <mergeCell ref="V332:W332"/>
    <mergeCell ref="X332:Y332"/>
    <mergeCell ref="AA332:AB332"/>
    <mergeCell ref="D333:F333"/>
    <mergeCell ref="I333:K333"/>
    <mergeCell ref="L333:M333"/>
    <mergeCell ref="N333:P333"/>
    <mergeCell ref="Q333:R333"/>
    <mergeCell ref="S333:T333"/>
    <mergeCell ref="V333:W333"/>
    <mergeCell ref="X333:Y333"/>
    <mergeCell ref="AA333:AB333"/>
    <mergeCell ref="D334:F334"/>
    <mergeCell ref="I334:K334"/>
    <mergeCell ref="L334:M334"/>
    <mergeCell ref="N334:P334"/>
    <mergeCell ref="Q334:R334"/>
    <mergeCell ref="S334:T334"/>
    <mergeCell ref="V334:W334"/>
    <mergeCell ref="X334:Y334"/>
    <mergeCell ref="AA334:AB334"/>
    <mergeCell ref="D335:F335"/>
    <mergeCell ref="I335:K335"/>
    <mergeCell ref="L335:M335"/>
    <mergeCell ref="N335:P335"/>
    <mergeCell ref="Q335:R335"/>
    <mergeCell ref="S335:T335"/>
    <mergeCell ref="V335:W335"/>
    <mergeCell ref="X335:Y335"/>
    <mergeCell ref="AA335:AB335"/>
    <mergeCell ref="D336:F336"/>
    <mergeCell ref="I336:K336"/>
    <mergeCell ref="L336:M336"/>
    <mergeCell ref="N336:P336"/>
    <mergeCell ref="Q336:R336"/>
    <mergeCell ref="S336:T336"/>
    <mergeCell ref="V336:W336"/>
    <mergeCell ref="X336:Y336"/>
    <mergeCell ref="AA336:AB336"/>
    <mergeCell ref="D337:F337"/>
    <mergeCell ref="I337:K337"/>
    <mergeCell ref="L337:M337"/>
    <mergeCell ref="N337:P337"/>
    <mergeCell ref="Q337:R337"/>
    <mergeCell ref="S337:T337"/>
    <mergeCell ref="V337:W337"/>
    <mergeCell ref="X337:Y337"/>
    <mergeCell ref="AA337:AB337"/>
    <mergeCell ref="D338:F338"/>
    <mergeCell ref="I338:K338"/>
    <mergeCell ref="L338:M338"/>
    <mergeCell ref="N338:P338"/>
    <mergeCell ref="Q338:R338"/>
    <mergeCell ref="S338:T338"/>
    <mergeCell ref="V338:W338"/>
    <mergeCell ref="X338:Y338"/>
    <mergeCell ref="AA338:AB338"/>
    <mergeCell ref="D339:F339"/>
    <mergeCell ref="I339:K339"/>
    <mergeCell ref="L339:M339"/>
    <mergeCell ref="N339:P339"/>
    <mergeCell ref="Q339:R339"/>
    <mergeCell ref="S339:T339"/>
    <mergeCell ref="V339:W339"/>
    <mergeCell ref="X339:Y339"/>
    <mergeCell ref="AA339:AB339"/>
    <mergeCell ref="D340:F340"/>
    <mergeCell ref="I340:K340"/>
    <mergeCell ref="L340:M340"/>
    <mergeCell ref="N340:P340"/>
    <mergeCell ref="Q340:R340"/>
    <mergeCell ref="S340:T340"/>
    <mergeCell ref="V340:W340"/>
    <mergeCell ref="X340:Y340"/>
    <mergeCell ref="AA340:AB340"/>
    <mergeCell ref="D341:F341"/>
    <mergeCell ref="I341:K341"/>
    <mergeCell ref="L341:M341"/>
    <mergeCell ref="N341:P341"/>
    <mergeCell ref="Q341:R341"/>
    <mergeCell ref="S341:T341"/>
    <mergeCell ref="V341:W341"/>
    <mergeCell ref="X341:Y341"/>
    <mergeCell ref="AA341:AB341"/>
    <mergeCell ref="D342:F342"/>
    <mergeCell ref="I342:K342"/>
    <mergeCell ref="L342:M342"/>
    <mergeCell ref="N342:P342"/>
    <mergeCell ref="Q342:R342"/>
    <mergeCell ref="S342:T342"/>
    <mergeCell ref="V342:W342"/>
    <mergeCell ref="X342:Y342"/>
    <mergeCell ref="AA342:AB342"/>
    <mergeCell ref="D343:F343"/>
    <mergeCell ref="I343:K343"/>
    <mergeCell ref="L343:M343"/>
    <mergeCell ref="N343:P343"/>
    <mergeCell ref="Q343:R343"/>
    <mergeCell ref="S343:T343"/>
    <mergeCell ref="V343:W343"/>
    <mergeCell ref="X343:Y343"/>
    <mergeCell ref="AA343:AB343"/>
    <mergeCell ref="D344:F344"/>
    <mergeCell ref="I344:K344"/>
    <mergeCell ref="L344:M344"/>
    <mergeCell ref="N344:P344"/>
    <mergeCell ref="Q344:R344"/>
    <mergeCell ref="S344:T344"/>
    <mergeCell ref="V344:W344"/>
    <mergeCell ref="X344:Y344"/>
    <mergeCell ref="AA344:AB344"/>
    <mergeCell ref="D345:F345"/>
    <mergeCell ref="I345:K345"/>
    <mergeCell ref="L345:M345"/>
    <mergeCell ref="N345:P345"/>
    <mergeCell ref="Q345:R345"/>
    <mergeCell ref="S345:T345"/>
    <mergeCell ref="V345:W345"/>
    <mergeCell ref="X345:Y345"/>
    <mergeCell ref="AA345:AB345"/>
    <mergeCell ref="D346:F346"/>
    <mergeCell ref="I346:K346"/>
    <mergeCell ref="L346:M346"/>
    <mergeCell ref="N346:P346"/>
    <mergeCell ref="Q346:R346"/>
    <mergeCell ref="S346:T346"/>
    <mergeCell ref="V346:W346"/>
    <mergeCell ref="X346:Y346"/>
    <mergeCell ref="AA346:AB346"/>
    <mergeCell ref="D347:F347"/>
    <mergeCell ref="I347:K347"/>
    <mergeCell ref="L347:M347"/>
    <mergeCell ref="N347:P347"/>
    <mergeCell ref="Q347:R347"/>
    <mergeCell ref="S347:T347"/>
    <mergeCell ref="V347:W347"/>
    <mergeCell ref="X347:Y347"/>
    <mergeCell ref="AA347:AB347"/>
    <mergeCell ref="D348:F348"/>
    <mergeCell ref="I348:K348"/>
    <mergeCell ref="L348:M348"/>
    <mergeCell ref="N348:P348"/>
    <mergeCell ref="Q348:R348"/>
    <mergeCell ref="S348:T348"/>
    <mergeCell ref="V348:W348"/>
    <mergeCell ref="X348:Y348"/>
    <mergeCell ref="AA348:AB348"/>
    <mergeCell ref="D349:F349"/>
    <mergeCell ref="I349:K349"/>
    <mergeCell ref="L349:M349"/>
    <mergeCell ref="N349:P349"/>
    <mergeCell ref="Q349:R349"/>
    <mergeCell ref="S349:T349"/>
    <mergeCell ref="V349:W349"/>
    <mergeCell ref="X349:Y349"/>
    <mergeCell ref="AA349:AB349"/>
    <mergeCell ref="D350:F350"/>
    <mergeCell ref="I350:K350"/>
    <mergeCell ref="L350:M350"/>
    <mergeCell ref="N350:P350"/>
    <mergeCell ref="Q350:R350"/>
    <mergeCell ref="S350:T350"/>
    <mergeCell ref="V350:W350"/>
    <mergeCell ref="X350:Y350"/>
    <mergeCell ref="AA350:AB350"/>
    <mergeCell ref="D351:F351"/>
    <mergeCell ref="I351:K351"/>
    <mergeCell ref="L351:M351"/>
    <mergeCell ref="N351:P351"/>
    <mergeCell ref="Q351:R351"/>
    <mergeCell ref="S351:T351"/>
    <mergeCell ref="V351:W351"/>
    <mergeCell ref="X351:Y351"/>
    <mergeCell ref="AA351:AB351"/>
    <mergeCell ref="D352:F352"/>
    <mergeCell ref="I352:K352"/>
    <mergeCell ref="L352:M352"/>
    <mergeCell ref="N352:P352"/>
    <mergeCell ref="Q352:R352"/>
    <mergeCell ref="S352:T352"/>
    <mergeCell ref="V352:W352"/>
    <mergeCell ref="X352:Y352"/>
    <mergeCell ref="AA352:AB352"/>
    <mergeCell ref="D353:F353"/>
    <mergeCell ref="I353:K353"/>
    <mergeCell ref="L353:M353"/>
    <mergeCell ref="N353:P353"/>
    <mergeCell ref="Q353:R353"/>
    <mergeCell ref="S353:T353"/>
    <mergeCell ref="V353:W353"/>
    <mergeCell ref="X353:Y353"/>
    <mergeCell ref="AA353:AB353"/>
    <mergeCell ref="D354:F354"/>
    <mergeCell ref="I354:K354"/>
    <mergeCell ref="L354:M354"/>
    <mergeCell ref="N354:P354"/>
    <mergeCell ref="Q354:R354"/>
    <mergeCell ref="S354:T354"/>
    <mergeCell ref="V354:W354"/>
    <mergeCell ref="X354:Y354"/>
    <mergeCell ref="AA354:AB354"/>
    <mergeCell ref="D355:F355"/>
    <mergeCell ref="I355:K355"/>
    <mergeCell ref="L355:M355"/>
    <mergeCell ref="N355:P355"/>
    <mergeCell ref="Q355:R355"/>
    <mergeCell ref="S355:T355"/>
    <mergeCell ref="V355:W355"/>
    <mergeCell ref="X355:Y355"/>
    <mergeCell ref="AA355:AB355"/>
    <mergeCell ref="D356:F356"/>
    <mergeCell ref="I356:K356"/>
    <mergeCell ref="L356:M356"/>
    <mergeCell ref="N356:P356"/>
    <mergeCell ref="Q356:R356"/>
    <mergeCell ref="S356:T356"/>
    <mergeCell ref="V356:W356"/>
    <mergeCell ref="X356:Y356"/>
    <mergeCell ref="AA356:AB356"/>
    <mergeCell ref="D357:F357"/>
    <mergeCell ref="I357:K357"/>
    <mergeCell ref="L357:M357"/>
    <mergeCell ref="N357:P357"/>
    <mergeCell ref="Q357:R357"/>
    <mergeCell ref="S357:T357"/>
    <mergeCell ref="V357:W357"/>
    <mergeCell ref="X357:Y357"/>
    <mergeCell ref="AA357:AB357"/>
    <mergeCell ref="D358:F358"/>
    <mergeCell ref="I358:K358"/>
    <mergeCell ref="L358:M358"/>
    <mergeCell ref="N358:P358"/>
    <mergeCell ref="Q358:R358"/>
    <mergeCell ref="S358:T358"/>
    <mergeCell ref="V358:W358"/>
    <mergeCell ref="X358:Y358"/>
    <mergeCell ref="AA358:AB358"/>
    <mergeCell ref="D359:F359"/>
    <mergeCell ref="I359:K359"/>
    <mergeCell ref="L359:M359"/>
    <mergeCell ref="N359:P359"/>
    <mergeCell ref="Q359:R359"/>
    <mergeCell ref="S359:T359"/>
    <mergeCell ref="V359:W359"/>
    <mergeCell ref="X359:Y359"/>
    <mergeCell ref="AA359:AB359"/>
    <mergeCell ref="D360:F360"/>
    <mergeCell ref="I360:K360"/>
    <mergeCell ref="L360:M360"/>
    <mergeCell ref="N360:P360"/>
    <mergeCell ref="Q360:R360"/>
    <mergeCell ref="S360:T360"/>
    <mergeCell ref="V360:W360"/>
    <mergeCell ref="X360:Y360"/>
    <mergeCell ref="AA360:AB360"/>
    <mergeCell ref="D361:F361"/>
    <mergeCell ref="I361:K361"/>
    <mergeCell ref="L361:M361"/>
    <mergeCell ref="N361:P361"/>
    <mergeCell ref="Q361:R361"/>
    <mergeCell ref="S361:T361"/>
    <mergeCell ref="V361:W361"/>
    <mergeCell ref="X361:Y361"/>
    <mergeCell ref="AA361:AB361"/>
    <mergeCell ref="D362:F362"/>
    <mergeCell ref="I362:K362"/>
    <mergeCell ref="L362:M362"/>
    <mergeCell ref="N362:P362"/>
    <mergeCell ref="Q362:R362"/>
    <mergeCell ref="S362:T362"/>
    <mergeCell ref="V362:W362"/>
    <mergeCell ref="X362:Y362"/>
    <mergeCell ref="AA362:AB362"/>
    <mergeCell ref="D363:F363"/>
    <mergeCell ref="I363:K363"/>
    <mergeCell ref="L363:M363"/>
    <mergeCell ref="N363:P363"/>
    <mergeCell ref="Q363:R363"/>
    <mergeCell ref="S363:T363"/>
    <mergeCell ref="V363:W363"/>
    <mergeCell ref="X363:Y363"/>
    <mergeCell ref="AA363:AB363"/>
    <mergeCell ref="D364:F364"/>
    <mergeCell ref="I364:K364"/>
    <mergeCell ref="L364:M364"/>
    <mergeCell ref="N364:P364"/>
    <mergeCell ref="Q364:R364"/>
    <mergeCell ref="S364:T364"/>
    <mergeCell ref="V364:W364"/>
    <mergeCell ref="X364:Y364"/>
    <mergeCell ref="AA364:AB364"/>
    <mergeCell ref="D365:F365"/>
    <mergeCell ref="I365:K365"/>
    <mergeCell ref="L365:M365"/>
    <mergeCell ref="N365:P365"/>
    <mergeCell ref="Q365:R365"/>
    <mergeCell ref="S365:T365"/>
    <mergeCell ref="V365:W365"/>
    <mergeCell ref="X365:Y365"/>
    <mergeCell ref="AA365:AB365"/>
    <mergeCell ref="D366:F366"/>
    <mergeCell ref="I366:K366"/>
    <mergeCell ref="L366:M366"/>
    <mergeCell ref="N366:P366"/>
    <mergeCell ref="Q366:R366"/>
    <mergeCell ref="S366:T366"/>
    <mergeCell ref="V366:W366"/>
    <mergeCell ref="X366:Y366"/>
    <mergeCell ref="AA366:AB366"/>
    <mergeCell ref="D367:F367"/>
    <mergeCell ref="I367:K367"/>
    <mergeCell ref="L367:M367"/>
    <mergeCell ref="N367:P367"/>
    <mergeCell ref="Q367:R367"/>
    <mergeCell ref="S367:T367"/>
    <mergeCell ref="V367:W367"/>
    <mergeCell ref="X367:Y367"/>
    <mergeCell ref="AA367:AB367"/>
    <mergeCell ref="D368:F368"/>
    <mergeCell ref="I368:K368"/>
    <mergeCell ref="L368:M368"/>
    <mergeCell ref="N368:P368"/>
    <mergeCell ref="Q368:R368"/>
    <mergeCell ref="S368:T368"/>
    <mergeCell ref="V368:W368"/>
    <mergeCell ref="X368:Y368"/>
    <mergeCell ref="AA368:AB368"/>
    <mergeCell ref="D369:F369"/>
    <mergeCell ref="I369:K369"/>
    <mergeCell ref="L369:M369"/>
    <mergeCell ref="N369:P369"/>
    <mergeCell ref="Q369:R369"/>
    <mergeCell ref="S369:T369"/>
    <mergeCell ref="V369:W369"/>
    <mergeCell ref="X369:Y369"/>
    <mergeCell ref="AA369:AB369"/>
    <mergeCell ref="D370:F370"/>
    <mergeCell ref="I370:K370"/>
    <mergeCell ref="L370:M370"/>
    <mergeCell ref="N370:P370"/>
    <mergeCell ref="Q370:R370"/>
    <mergeCell ref="S370:T370"/>
    <mergeCell ref="V370:W370"/>
    <mergeCell ref="X370:Y370"/>
    <mergeCell ref="AA370:AB370"/>
    <mergeCell ref="D371:F371"/>
    <mergeCell ref="I371:K371"/>
    <mergeCell ref="L371:M371"/>
    <mergeCell ref="N371:P371"/>
    <mergeCell ref="Q371:R371"/>
    <mergeCell ref="S371:T371"/>
    <mergeCell ref="V371:W371"/>
    <mergeCell ref="X371:Y371"/>
    <mergeCell ref="AA371:AB371"/>
    <mergeCell ref="D372:F372"/>
    <mergeCell ref="I372:K372"/>
    <mergeCell ref="L372:M372"/>
    <mergeCell ref="N372:P372"/>
    <mergeCell ref="Q372:R372"/>
    <mergeCell ref="S372:T372"/>
    <mergeCell ref="V372:W372"/>
    <mergeCell ref="X372:Y372"/>
    <mergeCell ref="AA372:AB372"/>
    <mergeCell ref="D373:F373"/>
    <mergeCell ref="I373:K373"/>
    <mergeCell ref="L373:M373"/>
    <mergeCell ref="N373:P373"/>
    <mergeCell ref="Q373:R373"/>
    <mergeCell ref="S373:T373"/>
    <mergeCell ref="V373:W373"/>
    <mergeCell ref="X373:Y373"/>
    <mergeCell ref="AA373:AB373"/>
    <mergeCell ref="D374:F374"/>
    <mergeCell ref="I374:K374"/>
    <mergeCell ref="L374:M374"/>
    <mergeCell ref="N374:P374"/>
    <mergeCell ref="Q374:R374"/>
    <mergeCell ref="S374:T374"/>
    <mergeCell ref="V374:W374"/>
    <mergeCell ref="X374:Y374"/>
    <mergeCell ref="AA374:AB374"/>
    <mergeCell ref="D375:F375"/>
    <mergeCell ref="I375:K375"/>
    <mergeCell ref="L375:M375"/>
    <mergeCell ref="N375:P375"/>
    <mergeCell ref="Q375:R375"/>
    <mergeCell ref="S375:T375"/>
    <mergeCell ref="V375:W375"/>
    <mergeCell ref="X375:Y375"/>
    <mergeCell ref="AA375:AB375"/>
    <mergeCell ref="D376:F376"/>
    <mergeCell ref="I376:K376"/>
    <mergeCell ref="L376:M376"/>
    <mergeCell ref="N376:P376"/>
    <mergeCell ref="Q376:R376"/>
    <mergeCell ref="S376:T376"/>
    <mergeCell ref="V376:W376"/>
    <mergeCell ref="X376:Y376"/>
    <mergeCell ref="AA376:AB376"/>
    <mergeCell ref="D377:F377"/>
    <mergeCell ref="I377:K377"/>
    <mergeCell ref="L377:M377"/>
    <mergeCell ref="N377:P377"/>
    <mergeCell ref="Q377:R377"/>
    <mergeCell ref="S377:T377"/>
    <mergeCell ref="V377:W377"/>
    <mergeCell ref="X377:Y377"/>
    <mergeCell ref="AA377:AB377"/>
    <mergeCell ref="D378:F378"/>
    <mergeCell ref="I378:K378"/>
    <mergeCell ref="L378:M378"/>
    <mergeCell ref="N378:P378"/>
    <mergeCell ref="Q378:R378"/>
    <mergeCell ref="S378:T378"/>
    <mergeCell ref="V378:W378"/>
    <mergeCell ref="X378:Y378"/>
    <mergeCell ref="AA378:AB378"/>
    <mergeCell ref="D379:F379"/>
    <mergeCell ref="I379:K379"/>
    <mergeCell ref="L379:M379"/>
    <mergeCell ref="N379:P379"/>
    <mergeCell ref="Q379:R379"/>
    <mergeCell ref="S379:T379"/>
    <mergeCell ref="V379:W379"/>
    <mergeCell ref="X379:Y379"/>
    <mergeCell ref="AA379:AB379"/>
    <mergeCell ref="D380:F380"/>
    <mergeCell ref="I380:K380"/>
    <mergeCell ref="L380:M380"/>
    <mergeCell ref="N380:P380"/>
    <mergeCell ref="Q380:R380"/>
    <mergeCell ref="S380:T380"/>
    <mergeCell ref="V380:W380"/>
    <mergeCell ref="X380:Y380"/>
    <mergeCell ref="AA380:AB380"/>
    <mergeCell ref="D381:F381"/>
    <mergeCell ref="I381:K381"/>
    <mergeCell ref="L381:M381"/>
    <mergeCell ref="N381:P381"/>
    <mergeCell ref="Q381:R381"/>
    <mergeCell ref="S381:T381"/>
    <mergeCell ref="V381:W381"/>
    <mergeCell ref="X381:Y381"/>
    <mergeCell ref="AA381:AB381"/>
    <mergeCell ref="D382:F382"/>
    <mergeCell ref="I382:K382"/>
    <mergeCell ref="L382:M382"/>
    <mergeCell ref="N382:P382"/>
    <mergeCell ref="Q382:R382"/>
    <mergeCell ref="S382:T382"/>
    <mergeCell ref="V382:W382"/>
    <mergeCell ref="X382:Y382"/>
    <mergeCell ref="AA382:AB382"/>
    <mergeCell ref="D383:F383"/>
    <mergeCell ref="I383:K383"/>
    <mergeCell ref="L383:M383"/>
    <mergeCell ref="N383:P383"/>
    <mergeCell ref="Q383:R383"/>
    <mergeCell ref="S383:T383"/>
    <mergeCell ref="V383:W383"/>
    <mergeCell ref="X383:Y383"/>
    <mergeCell ref="AA383:AB383"/>
    <mergeCell ref="D384:F384"/>
    <mergeCell ref="I384:K384"/>
    <mergeCell ref="L384:M384"/>
    <mergeCell ref="N384:P384"/>
    <mergeCell ref="Q384:R384"/>
    <mergeCell ref="S384:T384"/>
    <mergeCell ref="V384:W384"/>
    <mergeCell ref="X384:Y384"/>
    <mergeCell ref="AA384:AB384"/>
    <mergeCell ref="D385:F385"/>
    <mergeCell ref="I385:K385"/>
    <mergeCell ref="L385:M385"/>
    <mergeCell ref="N385:P385"/>
    <mergeCell ref="Q385:R385"/>
    <mergeCell ref="S385:T385"/>
    <mergeCell ref="V385:W385"/>
    <mergeCell ref="X385:Y385"/>
    <mergeCell ref="AA385:AB385"/>
    <mergeCell ref="D386:F386"/>
    <mergeCell ref="I386:K386"/>
    <mergeCell ref="L386:M386"/>
    <mergeCell ref="N386:P386"/>
    <mergeCell ref="Q386:R386"/>
    <mergeCell ref="S386:T386"/>
    <mergeCell ref="V386:W386"/>
    <mergeCell ref="X386:Y386"/>
    <mergeCell ref="AA386:AB386"/>
    <mergeCell ref="D387:F387"/>
    <mergeCell ref="I387:K387"/>
    <mergeCell ref="L387:M387"/>
    <mergeCell ref="N387:P387"/>
    <mergeCell ref="Q387:R387"/>
    <mergeCell ref="S387:T387"/>
    <mergeCell ref="V387:W387"/>
    <mergeCell ref="X387:Y387"/>
    <mergeCell ref="AA387:AB387"/>
    <mergeCell ref="D388:F388"/>
    <mergeCell ref="I388:K388"/>
    <mergeCell ref="L388:M388"/>
    <mergeCell ref="N388:P388"/>
    <mergeCell ref="Q388:R388"/>
    <mergeCell ref="S388:T388"/>
    <mergeCell ref="V388:W388"/>
    <mergeCell ref="X388:Y388"/>
    <mergeCell ref="AA388:AB388"/>
    <mergeCell ref="D389:F389"/>
    <mergeCell ref="I389:K389"/>
    <mergeCell ref="L389:M389"/>
    <mergeCell ref="N389:P389"/>
    <mergeCell ref="Q389:R389"/>
    <mergeCell ref="S389:T389"/>
    <mergeCell ref="V389:W389"/>
    <mergeCell ref="X389:Y389"/>
    <mergeCell ref="AA389:AB389"/>
    <mergeCell ref="D390:F390"/>
    <mergeCell ref="I390:K390"/>
    <mergeCell ref="L390:M390"/>
    <mergeCell ref="N390:P390"/>
    <mergeCell ref="Q390:R390"/>
    <mergeCell ref="S390:T390"/>
    <mergeCell ref="V390:W390"/>
    <mergeCell ref="X390:Y390"/>
    <mergeCell ref="AA390:AB390"/>
    <mergeCell ref="D391:F391"/>
    <mergeCell ref="I391:K391"/>
    <mergeCell ref="L391:M391"/>
    <mergeCell ref="N391:P391"/>
    <mergeCell ref="Q391:R391"/>
    <mergeCell ref="S391:T391"/>
    <mergeCell ref="V391:W391"/>
    <mergeCell ref="X391:Y391"/>
    <mergeCell ref="AA391:AB391"/>
    <mergeCell ref="D392:F392"/>
    <mergeCell ref="I392:K392"/>
    <mergeCell ref="L392:M392"/>
    <mergeCell ref="N392:P392"/>
    <mergeCell ref="Q392:R392"/>
    <mergeCell ref="S392:T392"/>
    <mergeCell ref="V392:W392"/>
    <mergeCell ref="X392:Y392"/>
    <mergeCell ref="AA392:AB392"/>
    <mergeCell ref="D393:F393"/>
    <mergeCell ref="I393:K393"/>
    <mergeCell ref="L393:M393"/>
    <mergeCell ref="N393:P393"/>
    <mergeCell ref="Q393:R393"/>
    <mergeCell ref="S393:T393"/>
    <mergeCell ref="V393:W393"/>
    <mergeCell ref="X393:Y393"/>
    <mergeCell ref="AA393:AB393"/>
    <mergeCell ref="D394:F394"/>
    <mergeCell ref="I394:K394"/>
    <mergeCell ref="L394:M394"/>
    <mergeCell ref="N394:P394"/>
    <mergeCell ref="Q394:R394"/>
    <mergeCell ref="S394:T394"/>
    <mergeCell ref="V394:W394"/>
    <mergeCell ref="X394:Y394"/>
    <mergeCell ref="AA394:AB394"/>
    <mergeCell ref="D395:F395"/>
    <mergeCell ref="I395:K395"/>
    <mergeCell ref="L395:M395"/>
    <mergeCell ref="N395:P395"/>
    <mergeCell ref="Q395:R395"/>
    <mergeCell ref="S395:T395"/>
    <mergeCell ref="V395:W395"/>
    <mergeCell ref="X395:Y395"/>
    <mergeCell ref="AA395:AB395"/>
    <mergeCell ref="D396:F396"/>
    <mergeCell ref="I396:K396"/>
    <mergeCell ref="L396:M396"/>
    <mergeCell ref="N396:P396"/>
    <mergeCell ref="Q396:R396"/>
    <mergeCell ref="S396:T396"/>
    <mergeCell ref="V396:W396"/>
    <mergeCell ref="X396:Y396"/>
    <mergeCell ref="AA396:AB396"/>
    <mergeCell ref="D397:F397"/>
    <mergeCell ref="I397:K397"/>
    <mergeCell ref="L397:M397"/>
    <mergeCell ref="N397:P397"/>
    <mergeCell ref="Q397:R397"/>
    <mergeCell ref="S397:T397"/>
    <mergeCell ref="V397:W397"/>
    <mergeCell ref="X397:Y397"/>
    <mergeCell ref="AA397:AB397"/>
    <mergeCell ref="D398:F398"/>
    <mergeCell ref="I398:K398"/>
    <mergeCell ref="L398:M398"/>
    <mergeCell ref="N398:P398"/>
    <mergeCell ref="Q398:R398"/>
    <mergeCell ref="S398:T398"/>
    <mergeCell ref="V398:W398"/>
    <mergeCell ref="X398:Y398"/>
    <mergeCell ref="AA398:AB398"/>
    <mergeCell ref="D399:F399"/>
    <mergeCell ref="I399:K399"/>
    <mergeCell ref="L399:M399"/>
    <mergeCell ref="N399:P399"/>
    <mergeCell ref="Q399:R399"/>
    <mergeCell ref="S399:T399"/>
    <mergeCell ref="V399:W399"/>
    <mergeCell ref="X399:Y399"/>
    <mergeCell ref="AA399:AB399"/>
    <mergeCell ref="D400:F400"/>
    <mergeCell ref="I400:K400"/>
    <mergeCell ref="L400:M400"/>
    <mergeCell ref="N400:P400"/>
    <mergeCell ref="Q400:R400"/>
    <mergeCell ref="S400:T400"/>
    <mergeCell ref="V400:W400"/>
    <mergeCell ref="X400:Y400"/>
    <mergeCell ref="AA400:AB400"/>
    <mergeCell ref="D401:F401"/>
    <mergeCell ref="I401:K401"/>
    <mergeCell ref="L401:M401"/>
    <mergeCell ref="N401:P401"/>
    <mergeCell ref="Q401:R401"/>
    <mergeCell ref="S401:T401"/>
    <mergeCell ref="V401:W401"/>
    <mergeCell ref="X401:Y401"/>
    <mergeCell ref="AA401:AB401"/>
    <mergeCell ref="D402:F402"/>
    <mergeCell ref="I402:K402"/>
    <mergeCell ref="L402:M402"/>
    <mergeCell ref="N402:P402"/>
    <mergeCell ref="Q402:R402"/>
    <mergeCell ref="S402:T402"/>
    <mergeCell ref="V402:W402"/>
    <mergeCell ref="X402:Y402"/>
    <mergeCell ref="AA402:AB402"/>
    <mergeCell ref="D403:F403"/>
    <mergeCell ref="I403:K403"/>
    <mergeCell ref="L403:M403"/>
    <mergeCell ref="N403:P403"/>
    <mergeCell ref="Q403:R403"/>
    <mergeCell ref="S403:T403"/>
    <mergeCell ref="V403:W403"/>
    <mergeCell ref="X403:Y403"/>
    <mergeCell ref="AA403:AB403"/>
    <mergeCell ref="D404:F404"/>
    <mergeCell ref="I404:K404"/>
    <mergeCell ref="L404:M404"/>
    <mergeCell ref="N404:P404"/>
    <mergeCell ref="Q404:R404"/>
    <mergeCell ref="S404:T404"/>
    <mergeCell ref="V404:W404"/>
    <mergeCell ref="X404:Y404"/>
    <mergeCell ref="AA404:AB404"/>
    <mergeCell ref="D405:F405"/>
    <mergeCell ref="I405:K405"/>
    <mergeCell ref="L405:M405"/>
    <mergeCell ref="N405:P405"/>
    <mergeCell ref="Q405:R405"/>
    <mergeCell ref="S405:T405"/>
    <mergeCell ref="V405:W405"/>
    <mergeCell ref="X405:Y405"/>
    <mergeCell ref="AA405:AB405"/>
    <mergeCell ref="D406:F406"/>
    <mergeCell ref="I406:K406"/>
    <mergeCell ref="L406:M406"/>
    <mergeCell ref="N406:P406"/>
    <mergeCell ref="Q406:R406"/>
    <mergeCell ref="S406:T406"/>
    <mergeCell ref="V406:W406"/>
    <mergeCell ref="X406:Y406"/>
    <mergeCell ref="AA406:AB406"/>
    <mergeCell ref="D407:F407"/>
    <mergeCell ref="I407:K407"/>
    <mergeCell ref="L407:M407"/>
    <mergeCell ref="N407:P407"/>
    <mergeCell ref="Q407:R407"/>
    <mergeCell ref="S407:T407"/>
    <mergeCell ref="V407:W407"/>
    <mergeCell ref="X407:Y407"/>
    <mergeCell ref="AA407:AB407"/>
    <mergeCell ref="D408:F408"/>
    <mergeCell ref="I408:K408"/>
    <mergeCell ref="L408:M408"/>
    <mergeCell ref="N408:P408"/>
    <mergeCell ref="Q408:R408"/>
    <mergeCell ref="S408:T408"/>
    <mergeCell ref="V408:W408"/>
    <mergeCell ref="X408:Y408"/>
    <mergeCell ref="AA408:AB408"/>
    <mergeCell ref="D409:F409"/>
    <mergeCell ref="I409:K409"/>
    <mergeCell ref="L409:M409"/>
    <mergeCell ref="N409:P409"/>
    <mergeCell ref="Q409:R409"/>
    <mergeCell ref="S409:T409"/>
    <mergeCell ref="V409:W409"/>
    <mergeCell ref="X409:Y409"/>
    <mergeCell ref="AA409:AB409"/>
    <mergeCell ref="D410:F410"/>
    <mergeCell ref="I410:K410"/>
    <mergeCell ref="L410:M410"/>
    <mergeCell ref="N410:P410"/>
    <mergeCell ref="Q410:R410"/>
    <mergeCell ref="S410:T410"/>
    <mergeCell ref="V410:W410"/>
    <mergeCell ref="X410:Y410"/>
    <mergeCell ref="AA410:AB410"/>
    <mergeCell ref="D411:F411"/>
    <mergeCell ref="I411:K411"/>
    <mergeCell ref="L411:M411"/>
    <mergeCell ref="N411:P411"/>
    <mergeCell ref="Q411:R411"/>
    <mergeCell ref="S411:T411"/>
    <mergeCell ref="V411:W411"/>
    <mergeCell ref="X411:Y411"/>
    <mergeCell ref="AA411:AB411"/>
    <mergeCell ref="D412:F412"/>
    <mergeCell ref="I412:K412"/>
    <mergeCell ref="L412:M412"/>
    <mergeCell ref="N412:P412"/>
    <mergeCell ref="Q412:R412"/>
    <mergeCell ref="S412:T412"/>
    <mergeCell ref="V412:W412"/>
    <mergeCell ref="X412:Y412"/>
    <mergeCell ref="AA412:AB412"/>
    <mergeCell ref="D413:F413"/>
    <mergeCell ref="I413:K413"/>
    <mergeCell ref="L413:M413"/>
    <mergeCell ref="N413:P413"/>
    <mergeCell ref="Q413:R413"/>
    <mergeCell ref="S413:T413"/>
    <mergeCell ref="V413:W413"/>
    <mergeCell ref="X413:Y413"/>
    <mergeCell ref="AA413:AB413"/>
    <mergeCell ref="D414:F414"/>
    <mergeCell ref="I414:K414"/>
    <mergeCell ref="L414:M414"/>
    <mergeCell ref="N414:P414"/>
    <mergeCell ref="Q414:R414"/>
    <mergeCell ref="S414:T414"/>
    <mergeCell ref="V414:W414"/>
    <mergeCell ref="X414:Y414"/>
    <mergeCell ref="AA414:AB414"/>
    <mergeCell ref="D415:F415"/>
    <mergeCell ref="I415:K415"/>
    <mergeCell ref="L415:M415"/>
    <mergeCell ref="N415:P415"/>
    <mergeCell ref="Q415:R415"/>
    <mergeCell ref="S415:T415"/>
    <mergeCell ref="V415:W415"/>
    <mergeCell ref="X415:Y415"/>
    <mergeCell ref="AA415:AB415"/>
    <mergeCell ref="D416:F416"/>
    <mergeCell ref="I416:K416"/>
    <mergeCell ref="L416:M416"/>
    <mergeCell ref="N416:P416"/>
    <mergeCell ref="Q416:R416"/>
    <mergeCell ref="S416:T416"/>
    <mergeCell ref="V416:W416"/>
    <mergeCell ref="X416:Y416"/>
    <mergeCell ref="AA416:AB416"/>
    <mergeCell ref="D417:F417"/>
    <mergeCell ref="I417:K417"/>
    <mergeCell ref="L417:M417"/>
    <mergeCell ref="N417:P417"/>
    <mergeCell ref="Q417:R417"/>
    <mergeCell ref="S417:T417"/>
    <mergeCell ref="V417:W417"/>
    <mergeCell ref="X417:Y417"/>
    <mergeCell ref="AA417:AB417"/>
    <mergeCell ref="D418:F418"/>
    <mergeCell ref="I418:K418"/>
    <mergeCell ref="L418:M418"/>
    <mergeCell ref="N418:P418"/>
    <mergeCell ref="Q418:R418"/>
    <mergeCell ref="S418:T418"/>
    <mergeCell ref="V418:W418"/>
    <mergeCell ref="X418:Y418"/>
    <mergeCell ref="AA418:AB418"/>
    <mergeCell ref="D419:F419"/>
    <mergeCell ref="I419:K419"/>
    <mergeCell ref="L419:M419"/>
    <mergeCell ref="N419:P419"/>
    <mergeCell ref="Q419:R419"/>
    <mergeCell ref="S419:T419"/>
    <mergeCell ref="V419:W419"/>
    <mergeCell ref="X419:Y419"/>
    <mergeCell ref="AA419:AB419"/>
    <mergeCell ref="D420:F420"/>
    <mergeCell ref="I420:K420"/>
    <mergeCell ref="L420:M420"/>
    <mergeCell ref="N420:P420"/>
    <mergeCell ref="Q420:R420"/>
    <mergeCell ref="S420:T420"/>
    <mergeCell ref="V420:W420"/>
    <mergeCell ref="X420:Y420"/>
    <mergeCell ref="AA420:AB420"/>
    <mergeCell ref="D421:F421"/>
    <mergeCell ref="I421:K421"/>
    <mergeCell ref="L421:M421"/>
    <mergeCell ref="N421:P421"/>
    <mergeCell ref="Q421:R421"/>
    <mergeCell ref="S421:T421"/>
    <mergeCell ref="V421:W421"/>
    <mergeCell ref="X421:Y421"/>
    <mergeCell ref="AA421:AB421"/>
    <mergeCell ref="D422:F422"/>
    <mergeCell ref="I422:K422"/>
    <mergeCell ref="L422:M422"/>
    <mergeCell ref="N422:P422"/>
    <mergeCell ref="Q422:R422"/>
    <mergeCell ref="S422:T422"/>
    <mergeCell ref="V422:W422"/>
    <mergeCell ref="X422:Y422"/>
    <mergeCell ref="AA422:AB422"/>
    <mergeCell ref="D423:F423"/>
    <mergeCell ref="I423:K423"/>
    <mergeCell ref="L423:M423"/>
    <mergeCell ref="N423:P423"/>
    <mergeCell ref="Q423:R423"/>
    <mergeCell ref="S423:T423"/>
    <mergeCell ref="V423:W423"/>
    <mergeCell ref="X423:Y423"/>
    <mergeCell ref="AA423:AB423"/>
    <mergeCell ref="D424:F424"/>
    <mergeCell ref="I424:K424"/>
    <mergeCell ref="L424:M424"/>
    <mergeCell ref="N424:P424"/>
    <mergeCell ref="Q424:R424"/>
    <mergeCell ref="S424:T424"/>
    <mergeCell ref="V424:W424"/>
    <mergeCell ref="X424:Y424"/>
    <mergeCell ref="AA424:AB424"/>
    <mergeCell ref="D425:F425"/>
    <mergeCell ref="I425:K425"/>
    <mergeCell ref="L425:M425"/>
    <mergeCell ref="N425:P425"/>
    <mergeCell ref="Q425:R425"/>
    <mergeCell ref="S425:T425"/>
    <mergeCell ref="V425:W425"/>
    <mergeCell ref="X425:Y425"/>
    <mergeCell ref="AA425:AB425"/>
    <mergeCell ref="D426:F426"/>
    <mergeCell ref="I426:K426"/>
    <mergeCell ref="L426:M426"/>
    <mergeCell ref="N426:P426"/>
    <mergeCell ref="Q426:R426"/>
    <mergeCell ref="S426:T426"/>
    <mergeCell ref="V426:W426"/>
    <mergeCell ref="X426:Y426"/>
    <mergeCell ref="AA426:AB426"/>
    <mergeCell ref="D427:F427"/>
    <mergeCell ref="I427:K427"/>
    <mergeCell ref="L427:M427"/>
    <mergeCell ref="N427:P427"/>
    <mergeCell ref="Q427:R427"/>
    <mergeCell ref="S427:T427"/>
    <mergeCell ref="V427:W427"/>
    <mergeCell ref="X427:Y427"/>
    <mergeCell ref="AA427:AB427"/>
    <mergeCell ref="D428:F428"/>
    <mergeCell ref="I428:K428"/>
    <mergeCell ref="L428:M428"/>
    <mergeCell ref="N428:P428"/>
    <mergeCell ref="Q428:R428"/>
    <mergeCell ref="S428:T428"/>
    <mergeCell ref="V428:W428"/>
    <mergeCell ref="X428:Y428"/>
    <mergeCell ref="AA428:AB428"/>
    <mergeCell ref="D429:F429"/>
    <mergeCell ref="I429:K429"/>
    <mergeCell ref="L429:M429"/>
    <mergeCell ref="N429:P429"/>
    <mergeCell ref="Q429:R429"/>
    <mergeCell ref="S429:T429"/>
    <mergeCell ref="V429:W429"/>
    <mergeCell ref="X429:Y429"/>
    <mergeCell ref="AA429:AB429"/>
    <mergeCell ref="D430:F430"/>
    <mergeCell ref="I430:K430"/>
    <mergeCell ref="L430:M430"/>
    <mergeCell ref="N430:P430"/>
    <mergeCell ref="Q430:R430"/>
    <mergeCell ref="S430:T430"/>
    <mergeCell ref="V430:W430"/>
    <mergeCell ref="X430:Y430"/>
    <mergeCell ref="AA430:AB430"/>
    <mergeCell ref="D431:F431"/>
    <mergeCell ref="I431:K431"/>
    <mergeCell ref="L431:M431"/>
    <mergeCell ref="N431:P431"/>
    <mergeCell ref="Q431:R431"/>
    <mergeCell ref="S431:T431"/>
    <mergeCell ref="V431:W431"/>
    <mergeCell ref="X431:Y431"/>
    <mergeCell ref="AA431:AB431"/>
    <mergeCell ref="D432:F432"/>
    <mergeCell ref="I432:K432"/>
    <mergeCell ref="L432:M432"/>
    <mergeCell ref="N432:P432"/>
    <mergeCell ref="Q432:R432"/>
    <mergeCell ref="S432:T432"/>
    <mergeCell ref="V432:W432"/>
    <mergeCell ref="X432:Y432"/>
    <mergeCell ref="AA432:AB432"/>
    <mergeCell ref="D433:F433"/>
    <mergeCell ref="I433:K433"/>
    <mergeCell ref="L433:M433"/>
    <mergeCell ref="N433:P433"/>
    <mergeCell ref="Q433:R433"/>
    <mergeCell ref="S433:T433"/>
    <mergeCell ref="V433:W433"/>
    <mergeCell ref="X433:Y433"/>
    <mergeCell ref="AA433:AB433"/>
    <mergeCell ref="D434:F434"/>
    <mergeCell ref="I434:K434"/>
    <mergeCell ref="L434:M434"/>
    <mergeCell ref="N434:P434"/>
    <mergeCell ref="Q434:R434"/>
    <mergeCell ref="S434:T434"/>
    <mergeCell ref="V434:W434"/>
    <mergeCell ref="X434:Y434"/>
    <mergeCell ref="AA434:AB434"/>
    <mergeCell ref="D435:F435"/>
    <mergeCell ref="I435:K435"/>
    <mergeCell ref="L435:M435"/>
    <mergeCell ref="N435:P435"/>
    <mergeCell ref="Q435:R435"/>
    <mergeCell ref="S435:T435"/>
    <mergeCell ref="V435:W435"/>
    <mergeCell ref="X435:Y435"/>
    <mergeCell ref="AA435:AB435"/>
    <mergeCell ref="D436:F436"/>
    <mergeCell ref="I436:K436"/>
    <mergeCell ref="L436:M436"/>
    <mergeCell ref="N436:P436"/>
    <mergeCell ref="Q436:R436"/>
    <mergeCell ref="S436:T436"/>
    <mergeCell ref="V436:W436"/>
    <mergeCell ref="X436:Y436"/>
    <mergeCell ref="AA436:AB436"/>
    <mergeCell ref="D437:F437"/>
    <mergeCell ref="I437:K437"/>
    <mergeCell ref="L437:M437"/>
    <mergeCell ref="N437:P437"/>
    <mergeCell ref="Q437:R437"/>
    <mergeCell ref="S437:T437"/>
    <mergeCell ref="V437:W437"/>
    <mergeCell ref="X437:Y437"/>
    <mergeCell ref="AA437:AB437"/>
    <mergeCell ref="D438:F438"/>
    <mergeCell ref="I438:K438"/>
    <mergeCell ref="L438:M438"/>
    <mergeCell ref="N438:P438"/>
    <mergeCell ref="Q438:R438"/>
    <mergeCell ref="S438:T438"/>
    <mergeCell ref="V438:W438"/>
    <mergeCell ref="X438:Y438"/>
    <mergeCell ref="AA438:AB438"/>
    <mergeCell ref="D439:F439"/>
    <mergeCell ref="I439:K439"/>
    <mergeCell ref="L439:M439"/>
    <mergeCell ref="N439:P439"/>
    <mergeCell ref="Q439:R439"/>
    <mergeCell ref="S439:T439"/>
    <mergeCell ref="V439:W439"/>
    <mergeCell ref="X439:Y439"/>
    <mergeCell ref="AA439:AB439"/>
    <mergeCell ref="D440:F440"/>
    <mergeCell ref="I440:K440"/>
    <mergeCell ref="L440:M440"/>
    <mergeCell ref="N440:P440"/>
    <mergeCell ref="Q440:R440"/>
    <mergeCell ref="S440:T440"/>
    <mergeCell ref="V440:W440"/>
    <mergeCell ref="X440:Y440"/>
    <mergeCell ref="AA440:AB440"/>
    <mergeCell ref="D441:F441"/>
    <mergeCell ref="I441:K441"/>
    <mergeCell ref="L441:M441"/>
    <mergeCell ref="N441:P441"/>
    <mergeCell ref="Q441:R441"/>
    <mergeCell ref="S441:T441"/>
    <mergeCell ref="V441:W441"/>
    <mergeCell ref="X441:Y441"/>
    <mergeCell ref="AA441:AB441"/>
    <mergeCell ref="D442:F442"/>
    <mergeCell ref="I442:K442"/>
    <mergeCell ref="L442:M442"/>
    <mergeCell ref="N442:P442"/>
    <mergeCell ref="Q442:R442"/>
    <mergeCell ref="S442:T442"/>
    <mergeCell ref="V442:W442"/>
    <mergeCell ref="X442:Y442"/>
    <mergeCell ref="AA442:AB442"/>
    <mergeCell ref="D443:F443"/>
    <mergeCell ref="I443:K443"/>
    <mergeCell ref="L443:M443"/>
    <mergeCell ref="N443:P443"/>
    <mergeCell ref="Q443:R443"/>
    <mergeCell ref="S443:T443"/>
    <mergeCell ref="V443:W443"/>
    <mergeCell ref="X443:Y443"/>
    <mergeCell ref="AA443:AB443"/>
    <mergeCell ref="D444:F444"/>
    <mergeCell ref="I444:K444"/>
    <mergeCell ref="L444:M444"/>
    <mergeCell ref="N444:P444"/>
    <mergeCell ref="Q444:R444"/>
    <mergeCell ref="S444:T444"/>
    <mergeCell ref="V444:W444"/>
    <mergeCell ref="X444:Y444"/>
    <mergeCell ref="AA444:AB444"/>
    <mergeCell ref="D445:F445"/>
    <mergeCell ref="I445:K445"/>
    <mergeCell ref="L445:M445"/>
    <mergeCell ref="N445:P445"/>
    <mergeCell ref="Q445:R445"/>
    <mergeCell ref="S445:T445"/>
    <mergeCell ref="V445:W445"/>
    <mergeCell ref="X445:Y445"/>
    <mergeCell ref="AA445:AB445"/>
    <mergeCell ref="D446:F446"/>
    <mergeCell ref="I446:K446"/>
    <mergeCell ref="L446:M446"/>
    <mergeCell ref="N446:P446"/>
    <mergeCell ref="Q446:R446"/>
    <mergeCell ref="S446:T446"/>
    <mergeCell ref="V446:W446"/>
    <mergeCell ref="X446:Y446"/>
    <mergeCell ref="AA446:AB446"/>
    <mergeCell ref="D447:F447"/>
    <mergeCell ref="I447:K447"/>
    <mergeCell ref="L447:M447"/>
    <mergeCell ref="N447:P447"/>
    <mergeCell ref="Q447:R447"/>
    <mergeCell ref="S447:T447"/>
    <mergeCell ref="V447:W447"/>
    <mergeCell ref="X447:Y447"/>
    <mergeCell ref="AA447:AB447"/>
    <mergeCell ref="D448:F448"/>
    <mergeCell ref="I448:K448"/>
    <mergeCell ref="L448:M448"/>
    <mergeCell ref="N448:P448"/>
    <mergeCell ref="Q448:R448"/>
    <mergeCell ref="S448:T448"/>
    <mergeCell ref="V448:W448"/>
    <mergeCell ref="X448:Y448"/>
    <mergeCell ref="AA448:AB448"/>
    <mergeCell ref="D449:F449"/>
    <mergeCell ref="I449:K449"/>
    <mergeCell ref="L449:M449"/>
    <mergeCell ref="N449:P449"/>
    <mergeCell ref="Q449:R449"/>
    <mergeCell ref="S449:T449"/>
    <mergeCell ref="V449:W449"/>
    <mergeCell ref="X449:Y449"/>
    <mergeCell ref="AA449:AB449"/>
    <mergeCell ref="D450:F450"/>
    <mergeCell ref="I450:K450"/>
    <mergeCell ref="L450:M450"/>
    <mergeCell ref="N450:P450"/>
    <mergeCell ref="Q450:R450"/>
    <mergeCell ref="S450:T450"/>
    <mergeCell ref="V450:W450"/>
    <mergeCell ref="X450:Y450"/>
    <mergeCell ref="AA450:AB450"/>
    <mergeCell ref="D451:F451"/>
    <mergeCell ref="I451:K451"/>
    <mergeCell ref="L451:M451"/>
    <mergeCell ref="N451:P451"/>
    <mergeCell ref="Q451:R451"/>
    <mergeCell ref="S451:T451"/>
    <mergeCell ref="V451:W451"/>
    <mergeCell ref="X451:Y451"/>
    <mergeCell ref="AA451:AB451"/>
    <mergeCell ref="D452:F452"/>
    <mergeCell ref="I452:K452"/>
    <mergeCell ref="L452:M452"/>
    <mergeCell ref="N452:P452"/>
    <mergeCell ref="Q452:R452"/>
    <mergeCell ref="S452:T452"/>
    <mergeCell ref="V452:W452"/>
    <mergeCell ref="X452:Y452"/>
    <mergeCell ref="AA452:AB452"/>
    <mergeCell ref="D453:F453"/>
    <mergeCell ref="I453:K453"/>
    <mergeCell ref="L453:M453"/>
    <mergeCell ref="N453:P453"/>
    <mergeCell ref="Q453:R453"/>
    <mergeCell ref="S453:T453"/>
    <mergeCell ref="V453:W453"/>
    <mergeCell ref="X453:Y453"/>
    <mergeCell ref="AA453:AB453"/>
    <mergeCell ref="D454:F454"/>
    <mergeCell ref="I454:K454"/>
    <mergeCell ref="L454:M454"/>
    <mergeCell ref="N454:P454"/>
    <mergeCell ref="Q454:R454"/>
    <mergeCell ref="S454:T454"/>
    <mergeCell ref="V454:W454"/>
    <mergeCell ref="X454:Y454"/>
    <mergeCell ref="AA454:AB454"/>
    <mergeCell ref="D455:F455"/>
    <mergeCell ref="I455:K455"/>
    <mergeCell ref="L455:M455"/>
    <mergeCell ref="N455:P455"/>
    <mergeCell ref="Q455:R455"/>
    <mergeCell ref="S455:T455"/>
    <mergeCell ref="V455:W455"/>
    <mergeCell ref="X455:Y455"/>
    <mergeCell ref="AA455:AB455"/>
    <mergeCell ref="D456:F456"/>
    <mergeCell ref="I456:K456"/>
    <mergeCell ref="L456:M456"/>
    <mergeCell ref="N456:P456"/>
    <mergeCell ref="Q456:R456"/>
    <mergeCell ref="S456:T456"/>
    <mergeCell ref="V456:W456"/>
    <mergeCell ref="X456:Y456"/>
    <mergeCell ref="AA456:AB456"/>
    <mergeCell ref="D457:F457"/>
    <mergeCell ref="I457:K457"/>
    <mergeCell ref="L457:M457"/>
    <mergeCell ref="N457:P457"/>
    <mergeCell ref="Q457:R457"/>
    <mergeCell ref="S457:T457"/>
    <mergeCell ref="V457:W457"/>
    <mergeCell ref="X457:Y457"/>
    <mergeCell ref="AA457:AB457"/>
    <mergeCell ref="D458:F458"/>
    <mergeCell ref="I458:K458"/>
    <mergeCell ref="L458:M458"/>
    <mergeCell ref="N458:P458"/>
    <mergeCell ref="Q458:R458"/>
    <mergeCell ref="S458:T458"/>
    <mergeCell ref="V458:W458"/>
    <mergeCell ref="X458:Y458"/>
    <mergeCell ref="AA458:AB458"/>
    <mergeCell ref="D459:F459"/>
    <mergeCell ref="I459:K459"/>
    <mergeCell ref="L459:M459"/>
    <mergeCell ref="N459:P459"/>
    <mergeCell ref="Q459:R459"/>
    <mergeCell ref="S459:T459"/>
    <mergeCell ref="V459:W459"/>
    <mergeCell ref="X459:Y459"/>
    <mergeCell ref="AA459:AB459"/>
    <mergeCell ref="D460:F460"/>
    <mergeCell ref="I460:K460"/>
    <mergeCell ref="L460:M460"/>
    <mergeCell ref="N460:P460"/>
    <mergeCell ref="Q460:R460"/>
    <mergeCell ref="S460:T460"/>
    <mergeCell ref="V460:W460"/>
    <mergeCell ref="X460:Y460"/>
    <mergeCell ref="AA460:AB460"/>
    <mergeCell ref="D461:F461"/>
    <mergeCell ref="I461:K461"/>
    <mergeCell ref="L461:M461"/>
    <mergeCell ref="N461:P461"/>
    <mergeCell ref="Q461:R461"/>
    <mergeCell ref="S461:T461"/>
    <mergeCell ref="V461:W461"/>
    <mergeCell ref="X461:Y461"/>
    <mergeCell ref="AA461:AB461"/>
    <mergeCell ref="D462:F462"/>
    <mergeCell ref="I462:K462"/>
    <mergeCell ref="L462:M462"/>
    <mergeCell ref="N462:P462"/>
    <mergeCell ref="Q462:R462"/>
    <mergeCell ref="S462:T462"/>
    <mergeCell ref="V462:W462"/>
    <mergeCell ref="X462:Y462"/>
    <mergeCell ref="AA462:AB462"/>
    <mergeCell ref="D463:F463"/>
    <mergeCell ref="I463:K463"/>
    <mergeCell ref="L463:M463"/>
    <mergeCell ref="N463:P463"/>
    <mergeCell ref="Q463:R463"/>
    <mergeCell ref="S463:T463"/>
    <mergeCell ref="V463:W463"/>
    <mergeCell ref="X463:Y463"/>
    <mergeCell ref="AA463:AB463"/>
    <mergeCell ref="D464:F464"/>
    <mergeCell ref="I464:K464"/>
    <mergeCell ref="L464:M464"/>
    <mergeCell ref="N464:P464"/>
    <mergeCell ref="Q464:R464"/>
    <mergeCell ref="S464:T464"/>
    <mergeCell ref="V464:W464"/>
    <mergeCell ref="X464:Y464"/>
    <mergeCell ref="AA464:AB464"/>
    <mergeCell ref="D465:F465"/>
    <mergeCell ref="I465:K465"/>
    <mergeCell ref="L465:M465"/>
    <mergeCell ref="N465:P465"/>
    <mergeCell ref="Q465:R465"/>
    <mergeCell ref="S465:T465"/>
    <mergeCell ref="V465:W465"/>
    <mergeCell ref="X465:Y465"/>
    <mergeCell ref="AA465:AB465"/>
    <mergeCell ref="D466:F466"/>
    <mergeCell ref="I466:K466"/>
    <mergeCell ref="L466:M466"/>
    <mergeCell ref="N466:P466"/>
    <mergeCell ref="Q466:R466"/>
    <mergeCell ref="S466:T466"/>
    <mergeCell ref="V466:W466"/>
    <mergeCell ref="X466:Y466"/>
    <mergeCell ref="AA466:AB466"/>
    <mergeCell ref="D467:F467"/>
    <mergeCell ref="I467:K467"/>
    <mergeCell ref="L467:M467"/>
    <mergeCell ref="N467:P467"/>
    <mergeCell ref="Q467:R467"/>
    <mergeCell ref="S467:T467"/>
    <mergeCell ref="V467:W467"/>
    <mergeCell ref="X467:Y467"/>
    <mergeCell ref="AA467:AB467"/>
    <mergeCell ref="D468:F468"/>
    <mergeCell ref="I468:K468"/>
    <mergeCell ref="L468:M468"/>
    <mergeCell ref="N468:P468"/>
    <mergeCell ref="Q468:R468"/>
    <mergeCell ref="S468:T468"/>
    <mergeCell ref="V468:W468"/>
    <mergeCell ref="X468:Y468"/>
    <mergeCell ref="AA468:AB468"/>
    <mergeCell ref="D469:F469"/>
    <mergeCell ref="I469:K469"/>
    <mergeCell ref="L469:M469"/>
    <mergeCell ref="N469:P469"/>
    <mergeCell ref="Q469:R469"/>
    <mergeCell ref="S469:T469"/>
    <mergeCell ref="V469:W469"/>
    <mergeCell ref="X469:Y469"/>
    <mergeCell ref="AA469:AB469"/>
    <mergeCell ref="D470:F470"/>
    <mergeCell ref="I470:K470"/>
    <mergeCell ref="L470:M470"/>
    <mergeCell ref="N470:P470"/>
    <mergeCell ref="Q470:R470"/>
    <mergeCell ref="S470:T470"/>
    <mergeCell ref="V470:W470"/>
    <mergeCell ref="X470:Y470"/>
    <mergeCell ref="AA470:AB470"/>
    <mergeCell ref="D471:F471"/>
    <mergeCell ref="I471:K471"/>
    <mergeCell ref="L471:M471"/>
    <mergeCell ref="N471:P471"/>
    <mergeCell ref="Q471:R471"/>
    <mergeCell ref="S471:T471"/>
    <mergeCell ref="V471:W471"/>
    <mergeCell ref="X471:Y471"/>
    <mergeCell ref="AA471:AB471"/>
    <mergeCell ref="D472:F472"/>
    <mergeCell ref="I472:K472"/>
    <mergeCell ref="L472:M472"/>
    <mergeCell ref="N472:P472"/>
    <mergeCell ref="Q472:R472"/>
    <mergeCell ref="S472:T472"/>
    <mergeCell ref="V472:W472"/>
    <mergeCell ref="X472:Y472"/>
    <mergeCell ref="AA472:AB472"/>
    <mergeCell ref="D473:F473"/>
    <mergeCell ref="I473:K473"/>
    <mergeCell ref="L473:M473"/>
    <mergeCell ref="N473:P473"/>
    <mergeCell ref="Q473:R473"/>
    <mergeCell ref="S473:T473"/>
    <mergeCell ref="V473:W473"/>
    <mergeCell ref="X473:Y473"/>
    <mergeCell ref="AA473:AB473"/>
    <mergeCell ref="D474:F474"/>
    <mergeCell ref="I474:K474"/>
    <mergeCell ref="L474:M474"/>
    <mergeCell ref="N474:P474"/>
    <mergeCell ref="Q474:R474"/>
    <mergeCell ref="S474:T474"/>
    <mergeCell ref="V474:W474"/>
    <mergeCell ref="X474:Y474"/>
    <mergeCell ref="AA474:AB474"/>
    <mergeCell ref="D475:F475"/>
    <mergeCell ref="I475:K475"/>
    <mergeCell ref="L475:M475"/>
    <mergeCell ref="N475:P475"/>
    <mergeCell ref="Q475:R475"/>
    <mergeCell ref="S475:T475"/>
    <mergeCell ref="V475:W475"/>
    <mergeCell ref="X475:Y475"/>
    <mergeCell ref="AA475:AB475"/>
    <mergeCell ref="D476:F476"/>
    <mergeCell ref="I476:K476"/>
    <mergeCell ref="L476:M476"/>
    <mergeCell ref="N476:P476"/>
    <mergeCell ref="Q476:R476"/>
    <mergeCell ref="S476:T476"/>
    <mergeCell ref="V476:W476"/>
    <mergeCell ref="X476:Y476"/>
    <mergeCell ref="AA476:AB476"/>
    <mergeCell ref="D477:F477"/>
    <mergeCell ref="I477:K477"/>
    <mergeCell ref="L477:M477"/>
    <mergeCell ref="N477:P477"/>
    <mergeCell ref="Q477:R477"/>
    <mergeCell ref="S477:T477"/>
    <mergeCell ref="V477:W477"/>
    <mergeCell ref="X477:Y477"/>
    <mergeCell ref="AA477:AB477"/>
    <mergeCell ref="D478:F478"/>
    <mergeCell ref="I478:K478"/>
    <mergeCell ref="L478:M478"/>
    <mergeCell ref="N478:P478"/>
    <mergeCell ref="Q478:R478"/>
    <mergeCell ref="S478:T478"/>
    <mergeCell ref="V478:W478"/>
    <mergeCell ref="X478:Y478"/>
    <mergeCell ref="AA478:AB478"/>
    <mergeCell ref="D479:F479"/>
    <mergeCell ref="I479:K479"/>
    <mergeCell ref="L479:M479"/>
    <mergeCell ref="N479:P479"/>
    <mergeCell ref="Q479:R479"/>
    <mergeCell ref="S479:T479"/>
    <mergeCell ref="V479:W479"/>
    <mergeCell ref="X479:Y479"/>
    <mergeCell ref="AA479:AB479"/>
    <mergeCell ref="D480:F480"/>
    <mergeCell ref="I480:K480"/>
    <mergeCell ref="L480:M480"/>
    <mergeCell ref="N480:P480"/>
    <mergeCell ref="Q480:R480"/>
    <mergeCell ref="S480:T480"/>
    <mergeCell ref="V480:W480"/>
    <mergeCell ref="X480:Y480"/>
    <mergeCell ref="AA480:AB480"/>
    <mergeCell ref="D481:F481"/>
    <mergeCell ref="I481:K481"/>
    <mergeCell ref="L481:M481"/>
    <mergeCell ref="N481:P481"/>
    <mergeCell ref="Q481:R481"/>
    <mergeCell ref="S481:T481"/>
    <mergeCell ref="V481:W481"/>
    <mergeCell ref="X481:Y481"/>
    <mergeCell ref="AA481:AB481"/>
    <mergeCell ref="D482:F482"/>
    <mergeCell ref="I482:K482"/>
    <mergeCell ref="L482:M482"/>
    <mergeCell ref="N482:P482"/>
    <mergeCell ref="Q482:R482"/>
    <mergeCell ref="S482:T482"/>
    <mergeCell ref="V482:W482"/>
    <mergeCell ref="X482:Y482"/>
    <mergeCell ref="AA482:AB482"/>
    <mergeCell ref="D483:F483"/>
    <mergeCell ref="I483:K483"/>
    <mergeCell ref="L483:M483"/>
    <mergeCell ref="N483:P483"/>
    <mergeCell ref="Q483:R483"/>
    <mergeCell ref="S483:T483"/>
    <mergeCell ref="V483:W483"/>
    <mergeCell ref="X483:Y483"/>
    <mergeCell ref="AA483:AB483"/>
    <mergeCell ref="D484:F484"/>
    <mergeCell ref="I484:K484"/>
    <mergeCell ref="L484:M484"/>
    <mergeCell ref="N484:P484"/>
    <mergeCell ref="Q484:R484"/>
    <mergeCell ref="S484:T484"/>
    <mergeCell ref="V484:W484"/>
    <mergeCell ref="X484:Y484"/>
    <mergeCell ref="AA484:AB484"/>
    <mergeCell ref="D485:F485"/>
    <mergeCell ref="I485:K485"/>
    <mergeCell ref="L485:M485"/>
    <mergeCell ref="N485:P485"/>
    <mergeCell ref="Q485:R485"/>
    <mergeCell ref="S485:T485"/>
    <mergeCell ref="V485:W485"/>
    <mergeCell ref="X485:Y485"/>
    <mergeCell ref="AA485:AB485"/>
    <mergeCell ref="D486:F486"/>
    <mergeCell ref="I486:K486"/>
    <mergeCell ref="L486:M486"/>
    <mergeCell ref="N486:P486"/>
    <mergeCell ref="Q486:R486"/>
    <mergeCell ref="S486:T486"/>
    <mergeCell ref="V486:W486"/>
    <mergeCell ref="X486:Y486"/>
    <mergeCell ref="AA486:AB486"/>
    <mergeCell ref="D487:F487"/>
    <mergeCell ref="I487:K487"/>
    <mergeCell ref="L487:M487"/>
    <mergeCell ref="N487:P487"/>
    <mergeCell ref="Q487:R487"/>
    <mergeCell ref="S487:T487"/>
    <mergeCell ref="V487:W487"/>
    <mergeCell ref="X487:Y487"/>
    <mergeCell ref="AA487:AB487"/>
    <mergeCell ref="D488:F488"/>
    <mergeCell ref="I488:K488"/>
    <mergeCell ref="L488:M488"/>
    <mergeCell ref="N488:P488"/>
    <mergeCell ref="Q488:R488"/>
    <mergeCell ref="S488:T488"/>
    <mergeCell ref="V488:W488"/>
    <mergeCell ref="X488:Y488"/>
    <mergeCell ref="AA488:AB488"/>
    <mergeCell ref="D489:F489"/>
    <mergeCell ref="I489:K489"/>
    <mergeCell ref="L489:M489"/>
    <mergeCell ref="N489:P489"/>
    <mergeCell ref="Q489:R489"/>
    <mergeCell ref="S489:T489"/>
    <mergeCell ref="V489:W489"/>
    <mergeCell ref="X489:Y489"/>
    <mergeCell ref="AA489:AB489"/>
    <mergeCell ref="D490:F490"/>
    <mergeCell ref="I490:K490"/>
    <mergeCell ref="L490:M490"/>
    <mergeCell ref="N490:P490"/>
    <mergeCell ref="Q490:R490"/>
    <mergeCell ref="S490:T490"/>
    <mergeCell ref="V490:W490"/>
    <mergeCell ref="X490:Y490"/>
    <mergeCell ref="AA490:AB490"/>
    <mergeCell ref="D491:F491"/>
    <mergeCell ref="I491:K491"/>
    <mergeCell ref="L491:M491"/>
    <mergeCell ref="N491:P491"/>
    <mergeCell ref="Q491:R491"/>
    <mergeCell ref="S491:T491"/>
    <mergeCell ref="V491:W491"/>
    <mergeCell ref="X491:Y491"/>
    <mergeCell ref="AA491:AB491"/>
    <mergeCell ref="D492:F492"/>
    <mergeCell ref="I492:K492"/>
    <mergeCell ref="L492:M492"/>
    <mergeCell ref="N492:P492"/>
    <mergeCell ref="Q492:R492"/>
    <mergeCell ref="S492:T492"/>
    <mergeCell ref="V492:W492"/>
    <mergeCell ref="X492:Y492"/>
    <mergeCell ref="AA492:AB492"/>
    <mergeCell ref="D493:F493"/>
    <mergeCell ref="I493:K493"/>
    <mergeCell ref="L493:M493"/>
    <mergeCell ref="N493:P493"/>
    <mergeCell ref="Q493:R493"/>
    <mergeCell ref="S493:T493"/>
    <mergeCell ref="V493:W493"/>
    <mergeCell ref="X493:Y493"/>
    <mergeCell ref="AA493:AB493"/>
    <mergeCell ref="D494:F494"/>
    <mergeCell ref="I494:K494"/>
    <mergeCell ref="L494:M494"/>
    <mergeCell ref="N494:P494"/>
    <mergeCell ref="Q494:R494"/>
    <mergeCell ref="S494:T494"/>
    <mergeCell ref="V494:W494"/>
    <mergeCell ref="X494:Y494"/>
    <mergeCell ref="AA494:AB494"/>
    <mergeCell ref="D495:F495"/>
    <mergeCell ref="I495:K495"/>
    <mergeCell ref="L495:M495"/>
    <mergeCell ref="N495:P495"/>
    <mergeCell ref="Q495:R495"/>
    <mergeCell ref="S495:T495"/>
    <mergeCell ref="V495:W495"/>
    <mergeCell ref="X495:Y495"/>
    <mergeCell ref="AA495:AB495"/>
    <mergeCell ref="D496:F496"/>
    <mergeCell ref="I496:K496"/>
    <mergeCell ref="L496:M496"/>
    <mergeCell ref="N496:P496"/>
    <mergeCell ref="Q496:R496"/>
    <mergeCell ref="S496:T496"/>
    <mergeCell ref="V496:W496"/>
    <mergeCell ref="X496:Y496"/>
    <mergeCell ref="AA496:AB496"/>
    <mergeCell ref="D497:F497"/>
    <mergeCell ref="I497:K497"/>
    <mergeCell ref="L497:M497"/>
    <mergeCell ref="N497:P497"/>
    <mergeCell ref="Q497:R497"/>
    <mergeCell ref="S497:T497"/>
    <mergeCell ref="V497:W497"/>
    <mergeCell ref="X497:Y497"/>
    <mergeCell ref="AA497:AB497"/>
    <mergeCell ref="D498:F498"/>
    <mergeCell ref="I498:K498"/>
    <mergeCell ref="L498:M498"/>
    <mergeCell ref="N498:P498"/>
    <mergeCell ref="Q498:R498"/>
    <mergeCell ref="S498:T498"/>
    <mergeCell ref="V498:W498"/>
    <mergeCell ref="X498:Y498"/>
    <mergeCell ref="AA498:AB498"/>
    <mergeCell ref="D499:F499"/>
    <mergeCell ref="I499:K499"/>
    <mergeCell ref="L499:M499"/>
    <mergeCell ref="N499:P499"/>
    <mergeCell ref="Q499:R499"/>
    <mergeCell ref="S499:T499"/>
    <mergeCell ref="V499:W499"/>
    <mergeCell ref="X499:Y499"/>
    <mergeCell ref="AA499:AB499"/>
    <mergeCell ref="D500:F500"/>
    <mergeCell ref="I500:K500"/>
    <mergeCell ref="L500:M500"/>
    <mergeCell ref="N500:P500"/>
    <mergeCell ref="Q500:R500"/>
    <mergeCell ref="S500:T500"/>
    <mergeCell ref="V500:W500"/>
    <mergeCell ref="X500:Y500"/>
    <mergeCell ref="AA500:AB500"/>
    <mergeCell ref="D501:F501"/>
    <mergeCell ref="I501:K501"/>
    <mergeCell ref="L501:M501"/>
    <mergeCell ref="N501:P501"/>
    <mergeCell ref="Q501:R501"/>
    <mergeCell ref="S501:T501"/>
    <mergeCell ref="V501:W501"/>
    <mergeCell ref="X501:Y501"/>
    <mergeCell ref="AA501:AB501"/>
    <mergeCell ref="D502:F502"/>
    <mergeCell ref="I502:K502"/>
    <mergeCell ref="L502:M502"/>
    <mergeCell ref="N502:P502"/>
    <mergeCell ref="Q502:R502"/>
    <mergeCell ref="S502:T502"/>
    <mergeCell ref="V502:W502"/>
    <mergeCell ref="X502:Y502"/>
    <mergeCell ref="AA502:AB502"/>
    <mergeCell ref="D503:F503"/>
    <mergeCell ref="I503:K503"/>
    <mergeCell ref="L503:M503"/>
    <mergeCell ref="N503:P503"/>
    <mergeCell ref="Q503:R503"/>
    <mergeCell ref="S503:T503"/>
    <mergeCell ref="V503:W503"/>
    <mergeCell ref="X503:Y503"/>
    <mergeCell ref="AA503:AB503"/>
    <mergeCell ref="D504:F504"/>
    <mergeCell ref="I504:K504"/>
    <mergeCell ref="L504:M504"/>
    <mergeCell ref="N504:P504"/>
    <mergeCell ref="Q504:R504"/>
    <mergeCell ref="S504:T504"/>
    <mergeCell ref="V504:W504"/>
    <mergeCell ref="X504:Y504"/>
    <mergeCell ref="AA504:AB504"/>
    <mergeCell ref="D505:F505"/>
    <mergeCell ref="I505:K505"/>
    <mergeCell ref="L505:M505"/>
    <mergeCell ref="N505:P505"/>
    <mergeCell ref="Q505:R505"/>
    <mergeCell ref="S505:T505"/>
    <mergeCell ref="V505:W505"/>
    <mergeCell ref="X505:Y505"/>
    <mergeCell ref="AA505:AB505"/>
    <mergeCell ref="D506:F506"/>
    <mergeCell ref="I506:K506"/>
    <mergeCell ref="L506:M506"/>
    <mergeCell ref="N506:P506"/>
    <mergeCell ref="Q506:R506"/>
    <mergeCell ref="S506:T506"/>
    <mergeCell ref="V506:W506"/>
    <mergeCell ref="X506:Y506"/>
    <mergeCell ref="AA506:AB506"/>
  </mergeCells>
  <conditionalFormatting sqref="AC7:AC506">
    <cfRule type="cellIs" priority="2" operator="equal" aboveAverage="0" equalAverage="0" bottom="0" percent="0" rank="0" text="" dxfId="2">
      <formula>"Yes"</formula>
    </cfRule>
  </conditionalFormatting>
  <conditionalFormatting sqref="U7:U506">
    <cfRule type="cellIs" priority="3" operator="equal" aboveAverage="0" equalAverage="0" bottom="0" percent="0" rank="0" text="" dxfId="0">
      <formula>"Done"</formula>
    </cfRule>
    <cfRule type="cellIs" priority="4" operator="equal" aboveAverage="0" equalAverage="0" bottom="0" percent="0" rank="0" text="" dxfId="0">
      <formula>"Paid"</formula>
    </cfRule>
    <cfRule type="cellIs" priority="5" operator="equal" aboveAverage="0" equalAverage="0" bottom="0" percent="0" rank="0" text="" dxfId="0">
      <formula>"Booked"</formula>
    </cfRule>
    <cfRule type="cellIs" priority="6" operator="equal" aboveAverage="0" equalAverage="0" bottom="0" percent="0" rank="0" text="" dxfId="0">
      <formula>"Attending"</formula>
    </cfRule>
    <cfRule type="cellIs" priority="7" operator="equal" aboveAverage="0" equalAverage="0" bottom="0" percent="0" rank="0" text="" dxfId="0">
      <formula>"Ready"</formula>
    </cfRule>
    <cfRule type="cellIs" priority="8" operator="equal" aboveAverage="0" equalAverage="0" bottom="0" percent="0" rank="0" text="" dxfId="1">
      <formula>"Overdue"</formula>
    </cfRule>
    <cfRule type="cellIs" priority="9" operator="equal" aboveAverage="0" equalAverage="0" bottom="0" percent="0" rank="0" text="" dxfId="1">
      <formula>"Out of date: get a new one"</formula>
    </cfRule>
    <cfRule type="cellIs" priority="10" operator="equal" aboveAverage="0" equalAverage="0" bottom="0" percent="0" rank="0" text="" dxfId="1">
      <formula>"Date to fix"</formula>
    </cfRule>
    <cfRule type="cellIs" priority="11" operator="equal" aboveAverage="0" equalAverage="0" bottom="0" percent="0" rank="0" text="" dxfId="4">
      <formula>"Within 30 days"</formula>
    </cfRule>
    <cfRule type="cellIs" priority="12" operator="equal" aboveAverage="0" equalAverage="0" bottom="0" percent="0" rank="0" text="" dxfId="4">
      <formula>"Awaiting reply"</formula>
    </cfRule>
    <cfRule type="cellIs" priority="13" operator="equal" aboveAverage="0" equalAverage="0" bottom="0" percent="0" rank="0" text="" dxfId="4">
      <formula>"Quote received"</formula>
    </cfRule>
    <cfRule type="cellIs" priority="14" operator="equal" aboveAverage="0" equalAverage="0" bottom="0" percent="0" rank="0" text="" dxfId="4">
      <formula>"In progress"</formula>
    </cfRule>
    <cfRule type="cellIs" priority="15" operator="equal" aboveAverage="0" equalAverage="0" bottom="0" percent="0" rank="0" text="" dxfId="4">
      <formula>"Expires soon"</formula>
    </cfRule>
    <cfRule type="cellIs" priority="16" operator="equal" aboveAverage="0" equalAverage="0" bottom="0" percent="0" rank="0" text="" dxfId="1">
      <formula>"Today"</formula>
    </cfRule>
    <cfRule type="cellIs" priority="17" operator="equal" aboveAverage="0" equalAverage="0" bottom="0" percent="0" rank="0" text="" dxfId="4">
      <formula>"This week"</formula>
    </cfRule>
    <cfRule type="cellIs" priority="18" operator="equal" aboveAverage="0" equalAverage="0" bottom="0" percent="0" rank="0" text="" dxfId="4">
      <formula>"To find"</formula>
    </cfRule>
    <cfRule type="cellIs" priority="19" operator="equal" aboveAverage="0" equalAverage="0" bottom="0" percent="0" rank="0" text="" dxfId="4">
      <formula>"To schedule"</formula>
    </cfRule>
    <cfRule type="cellIs" priority="20" operator="equal" aboveAverage="0" equalAverage="0" bottom="0" percent="0" rank="0" text="" dxfId="9">
      <formula>"Declined"</formula>
    </cfRule>
    <cfRule type="cellIs" priority="21" operator="equal" aboveAverage="0" equalAverage="0" bottom="0" percent="0" rank="0" text="" dxfId="9">
      <formula>"Past"</formula>
    </cfRule>
    <cfRule type="cellIs" priority="22" operator="equal" aboveAverage="0" equalAverage="0" bottom="0" percent="0" rank="0" text="" dxfId="9">
      <formula>"Not needed"</formula>
    </cfRule>
    <cfRule type="cellIs" priority="23" operator="equal" aboveAverage="0" equalAverage="0" bottom="0" percent="0" rank="0" text="" dxfId="1">
      <formula>"Overlap"</formula>
    </cfRule>
  </conditionalFormatting>
  <conditionalFormatting sqref="AA7:AB506">
    <cfRule type="cellIs" priority="24" operator="equal" aboveAverage="0" equalAverage="0" bottom="0" percent="0" rank="0" text="" dxfId="0">
      <formula>"Done"</formula>
    </cfRule>
    <cfRule type="cellIs" priority="25" operator="equal" aboveAverage="0" equalAverage="0" bottom="0" percent="0" rank="0" text="" dxfId="0">
      <formula>"Paid"</formula>
    </cfRule>
    <cfRule type="cellIs" priority="26" operator="equal" aboveAverage="0" equalAverage="0" bottom="0" percent="0" rank="0" text="" dxfId="0">
      <formula>"Booked"</formula>
    </cfRule>
    <cfRule type="cellIs" priority="27" operator="equal" aboveAverage="0" equalAverage="0" bottom="0" percent="0" rank="0" text="" dxfId="0">
      <formula>"Attending"</formula>
    </cfRule>
    <cfRule type="cellIs" priority="28" operator="equal" aboveAverage="0" equalAverage="0" bottom="0" percent="0" rank="0" text="" dxfId="0">
      <formula>"Ready"</formula>
    </cfRule>
    <cfRule type="cellIs" priority="29" operator="equal" aboveAverage="0" equalAverage="0" bottom="0" percent="0" rank="0" text="" dxfId="1">
      <formula>"Overdue"</formula>
    </cfRule>
    <cfRule type="cellIs" priority="30" operator="equal" aboveAverage="0" equalAverage="0" bottom="0" percent="0" rank="0" text="" dxfId="1">
      <formula>"Out of date: get a new one"</formula>
    </cfRule>
    <cfRule type="cellIs" priority="31" operator="equal" aboveAverage="0" equalAverage="0" bottom="0" percent="0" rank="0" text="" dxfId="1">
      <formula>"Date to fix"</formula>
    </cfRule>
    <cfRule type="cellIs" priority="32" operator="equal" aboveAverage="0" equalAverage="0" bottom="0" percent="0" rank="0" text="" dxfId="4">
      <formula>"Within 30 days"</formula>
    </cfRule>
    <cfRule type="cellIs" priority="33" operator="equal" aboveAverage="0" equalAverage="0" bottom="0" percent="0" rank="0" text="" dxfId="4">
      <formula>"Awaiting reply"</formula>
    </cfRule>
    <cfRule type="cellIs" priority="34" operator="equal" aboveAverage="0" equalAverage="0" bottom="0" percent="0" rank="0" text="" dxfId="4">
      <formula>"Quote received"</formula>
    </cfRule>
    <cfRule type="cellIs" priority="35" operator="equal" aboveAverage="0" equalAverage="0" bottom="0" percent="0" rank="0" text="" dxfId="4">
      <formula>"In progress"</formula>
    </cfRule>
    <cfRule type="cellIs" priority="36" operator="equal" aboveAverage="0" equalAverage="0" bottom="0" percent="0" rank="0" text="" dxfId="4">
      <formula>"Expires soon"</formula>
    </cfRule>
    <cfRule type="cellIs" priority="37" operator="equal" aboveAverage="0" equalAverage="0" bottom="0" percent="0" rank="0" text="" dxfId="1">
      <formula>"Today"</formula>
    </cfRule>
    <cfRule type="cellIs" priority="38" operator="equal" aboveAverage="0" equalAverage="0" bottom="0" percent="0" rank="0" text="" dxfId="4">
      <formula>"This week"</formula>
    </cfRule>
    <cfRule type="cellIs" priority="39" operator="equal" aboveAverage="0" equalAverage="0" bottom="0" percent="0" rank="0" text="" dxfId="4">
      <formula>"To find"</formula>
    </cfRule>
    <cfRule type="cellIs" priority="40" operator="equal" aboveAverage="0" equalAverage="0" bottom="0" percent="0" rank="0" text="" dxfId="4">
      <formula>"To schedule"</formula>
    </cfRule>
    <cfRule type="cellIs" priority="41" operator="equal" aboveAverage="0" equalAverage="0" bottom="0" percent="0" rank="0" text="" dxfId="9">
      <formula>"Declined"</formula>
    </cfRule>
    <cfRule type="cellIs" priority="42" operator="equal" aboveAverage="0" equalAverage="0" bottom="0" percent="0" rank="0" text="" dxfId="9">
      <formula>"Past"</formula>
    </cfRule>
    <cfRule type="cellIs" priority="43" operator="equal" aboveAverage="0" equalAverage="0" bottom="0" percent="0" rank="0" text="" dxfId="9">
      <formula>"Not needed"</formula>
    </cfRule>
    <cfRule type="cellIs" priority="44" operator="equal" aboveAverage="0" equalAverage="0" bottom="0" percent="0" rank="0" text="" dxfId="1">
      <formula>"Overlap"</formula>
    </cfRule>
  </conditionalFormatting>
  <conditionalFormatting sqref="Q7:T506">
    <cfRule type="cellIs" priority="45" operator="equal" aboveAverage="0" equalAverage="0" bottom="0" percent="0" rank="0" text="" dxfId="2">
      <formula>"Yes"</formula>
    </cfRule>
  </conditionalFormatting>
  <conditionalFormatting sqref="V7:W506">
    <cfRule type="cellIs" priority="46" operator="equal" aboveAverage="0" equalAverage="0" bottom="0" percent="0" rank="0" text="" dxfId="2">
      <formula>"Yes"</formula>
    </cfRule>
  </conditionalFormatting>
  <conditionalFormatting sqref="N7:P506">
    <cfRule type="cellIs" priority="47" operator="equal" aboveAverage="0" equalAverage="0" bottom="0" percent="0" rank="0" text="" dxfId="11">
      <formula>"Evening only"</formula>
    </cfRule>
  </conditionalFormatting>
  <dataValidations count="22">
    <dataValidation allowBlank="true" error="Tap the cell, then choose a value from the list." errorStyle="stop" errorTitle="Choose from the list" operator="between" prompt="Whose side is this guest on?" promptTitle="Side" showDropDown="false" showErrorMessage="true" showInputMessage="true" sqref="G7:G506" type="list">
      <formula1>Lists!$A$1:$A$3</formula1>
      <formula2>0</formula2>
    </dataValidation>
    <dataValidation allowBlank="true" error="Tap the cell, then choose a value from the list." errorStyle="stop" errorTitle="Choose from the list" operator="between" showDropDown="false" showErrorMessage="false" showInputMessage="false" sqref="H7:H506" type="list">
      <formula1>Lists!$B$1:$B$5</formula1>
      <formula2>0</formula2>
    </dataValidation>
    <dataValidation allowBlank="true" error="Tap the cell, then choose a value from the list." errorStyle="stop" errorTitle="Choose from the list" operator="between" prompt="&quot;Yes&quot; for a child (children's menu). Empty = adult." promptTitle="Child?" showDropDown="false" showErrorMessage="true" showInputMessage="true" sqref="I7:K506" type="list">
      <formula1>Lists!$D$1:$D$2</formula1>
      <formula2>0</formula2>
    </dataValidation>
    <dataValidation allowBlank="true" error="Tap the cell, then choose a value from the list." errorStyle="stop" errorTitle="Choose from the list" operator="between" prompt="Leave empty or choose &quot;All day&quot; for a day guest. &quot;Evening only&quot; = evening reception only." promptTitle="Invited to" showDropDown="false" showErrorMessage="true" showInputMessage="true" sqref="N7:P506" type="list">
      <formula1>Lists!$G$1:$G$2</formula1>
      <formula2>0</formula2>
    </dataValidation>
    <dataValidation allowBlank="true" error="Tap the cell, then choose a value from the list." errorStyle="stop" errorTitle="Choose from the list" operator="between" prompt="For a household, &quot;Yes&quot; on one person is enough." promptTitle="Invitation" showDropDown="false" showErrorMessage="true" showInputMessage="true" sqref="Q7:T506" type="list">
      <formula1>Lists!$D$1:$D$2</formula1>
      <formula2>0</formula2>
    </dataValidation>
    <dataValidation allowBlank="true" error="Tap the cell, then choose a value from the list." errorStyle="stop" errorTitle="Choose from the list" operator="between" prompt="Empty = awaiting reply." promptTitle="RSVP" showDropDown="false" showErrorMessage="true" showInputMessage="true" sqref="U7:U506" type="list">
      <formula1>Lists!$C$1:$C$3</formula1>
      <formula2>0</formula2>
    </dataValidation>
    <dataValidation allowBlank="true" error="Tap the cell, then choose a value from the list." errorStyle="stop" errorTitle="Choose from the list" operator="between" showDropDown="false" showErrorMessage="true" showInputMessage="false" sqref="V7:W506" type="list">
      <formula1>Lists!$D$1:$D$2</formula1>
      <formula2>0</formula2>
    </dataValidation>
    <dataValidation allowBlank="true" error="Tap the cell, then choose a value from the list." errorStyle="stop" errorTitle="Choose from the list" operator="between" prompt="Choose from the list or type your own text." promptTitle="Diet" showDropDown="false" showErrorMessage="false" showInputMessage="true" sqref="X7:Y506" type="list">
      <formula1>Lists!$F$1:$F$6</formula1>
      <formula2>0</formula2>
    </dataValidation>
    <dataValidation allowBlank="true" error="Tap the cell, then choose a value from the list." errorStyle="stop" errorTitle="Choose from the list" operator="between" prompt="Table number (Tables tab)." promptTitle="Table" showDropDown="false" showErrorMessage="true" showInputMessage="true" sqref="Z7:Z506" type="list">
      <formula1>Tables!$B$7:$B$36</formula1>
      <formula2>0</formula2>
    </dataValidation>
    <dataValidation allowBlank="true" error="Tap the cell, then choose a value from the list." errorStyle="stop" errorTitle="Choose from the list" operator="between" showDropDown="false" showErrorMessage="false" showInputMessage="false" sqref="AA7:AB506" type="list">
      <formula1>Lists!$L$1:$L$5</formula1>
      <formula2>0</formula2>
    </dataValidation>
    <dataValidation allowBlank="true" error="Tap the cell, then choose a value from the list." errorStyle="stop" errorTitle="Choose from the list" operator="between" prompt="Will this guest take the coach?" promptTitle="Coach" showDropDown="false" showErrorMessage="true" showInputMessage="true" sqref="AC7:AC506" type="list">
      <formula1>Lists!$D$1:$D$2</formula1>
      <formula2>0</formula2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B1" type="custom">
      <formula1>ISFORMULA(AB1)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B7:B506" type="custom">
      <formula1>ISFORMULA(B7)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I7:AI506" type="custom">
      <formula1>ISFORMULA(AI7)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J7:AJ506" type="custom">
      <formula1>ISFORMULA(AJ7)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K7:AK506" type="custom">
      <formula1>ISFORMULA(AK7)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L7:AL506" type="custom">
      <formula1>ISFORMULA(AL7)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M7:AM506" type="custom">
      <formula1>ISFORMULA(AM7)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N7:AN506" type="custom">
      <formula1>ISFORMULA(AN7)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O7:AO506" type="custom">
      <formula1>ISFORMULA(AO7)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P7:AP506" type="custom">
      <formula1>ISFORMULA(AP7)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AQ7:AQ506" type="custom">
      <formula1>ISFORMULA(AQ7)</formula1>
    </dataValidation>
  </dataValidations>
  <hyperlinks>
    <hyperlink ref="B1" location="'Dashboard'!A1" display="                        &#10;Dashboard&#10;                        "/>
    <hyperlink ref="F2" location="'Budget'!A1" display="      Budget      "/>
    <hyperlink ref="Z2" location="'Dashboard'!A62" display="       ?  Help       "/>
    <hyperlink ref="B5" location="'Dashboard'!A62" display="✎  Type in the white cells. One row per person: fill in from Surname to Household first, then the rest as replies come in. Evening guests: choose &quot;Evening only&quot; in Invited to.   Full guide and tip  ›  Help"/>
    <hyperlink ref="F3" r:id="rIdE1"/>
    <hyperlink ref="H2" r:id="rIdE2"/>
    <hyperlink ref="H3" r:id="rIdE3"/>
    <hyperlink ref="K3" r:id="rIdE4"/>
    <hyperlink ref="M2" r:id="rIdE5"/>
    <hyperlink ref="M3" r:id="rIdE6"/>
    <hyperlink ref="P2" r:id="rIdE7"/>
    <hyperlink ref="P3" r:id="rIdE8"/>
    <hyperlink ref="R2" r:id="rIdE9"/>
    <hyperlink ref="R3" r:id="rIdE10"/>
    <hyperlink ref="U2" r:id="rIdE11"/>
    <hyperlink ref="U3" r:id="rIdE12"/>
    <hyperlink ref="W2" r:id="rIdE13"/>
    <hyperlink ref="W3" r:id="rIdE14"/>
    <hyperlink ref="Z3" r:id="rIdE15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personal use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3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68" t="str">
        <f aca="false">IF(INDEX(Dashboard!$D:$D,6)="","Side 1",INDEX(Dashboard!$D:$D,6))</f>
        <v>Side 1</v>
      </c>
      <c r="B1" s="202" t="s">
        <v>211</v>
      </c>
      <c r="C1" s="202" t="s">
        <v>31</v>
      </c>
      <c r="D1" s="202" t="s">
        <v>212</v>
      </c>
      <c r="E1" s="202" t="s">
        <v>213</v>
      </c>
      <c r="F1" s="202" t="s">
        <v>214</v>
      </c>
      <c r="G1" s="202" t="s">
        <v>215</v>
      </c>
      <c r="H1" s="202" t="s">
        <v>216</v>
      </c>
      <c r="I1" s="202" t="s">
        <v>217</v>
      </c>
      <c r="J1" s="69" t="str">
        <f aca="false">Lists!$A$1</f>
        <v>Side 1</v>
      </c>
      <c r="K1" s="203" t="n">
        <v>1</v>
      </c>
      <c r="L1" s="202" t="s">
        <v>218</v>
      </c>
      <c r="M1" s="202" t="s">
        <v>186</v>
      </c>
      <c r="N1" s="202" t="s">
        <v>219</v>
      </c>
      <c r="O1" s="202" t="s">
        <v>220</v>
      </c>
      <c r="P1" s="202" t="s">
        <v>221</v>
      </c>
      <c r="Q1" s="202" t="s">
        <v>222</v>
      </c>
      <c r="R1" s="203" t="n">
        <v>0</v>
      </c>
      <c r="S1" s="202" t="s">
        <v>223</v>
      </c>
      <c r="T1" s="202" t="s">
        <v>224</v>
      </c>
      <c r="U1" s="202" t="s">
        <v>225</v>
      </c>
      <c r="V1" s="202" t="s">
        <v>226</v>
      </c>
      <c r="W1" s="202" t="s">
        <v>195</v>
      </c>
      <c r="X1" s="203" t="n">
        <v>1</v>
      </c>
      <c r="Y1" s="202" t="s">
        <v>227</v>
      </c>
      <c r="Z1" s="203" t="n">
        <v>2025</v>
      </c>
      <c r="AB1" s="202" t="s">
        <v>228</v>
      </c>
      <c r="AC1" s="202" t="s">
        <v>229</v>
      </c>
      <c r="AD1" s="202" t="s">
        <v>230</v>
      </c>
      <c r="AE1" s="204" t="s">
        <v>190</v>
      </c>
      <c r="AF1" s="204" t="s">
        <v>231</v>
      </c>
      <c r="AG1" s="204" t="s">
        <v>123</v>
      </c>
      <c r="AH1" s="0" t="n">
        <v>20604</v>
      </c>
      <c r="AI1" s="204" t="s">
        <v>185</v>
      </c>
      <c r="AJ1" s="204" t="s">
        <v>232</v>
      </c>
    </row>
    <row r="2" customFormat="false" ht="15" hidden="false" customHeight="false" outlineLevel="0" collapsed="false">
      <c r="A2" s="68" t="str">
        <f aca="false">IF(INDEX(Dashboard!$D:$D,7)="","Side 2",INDEX(Dashboard!$D:$D,7))</f>
        <v>Side 2</v>
      </c>
      <c r="B2" s="202" t="s">
        <v>193</v>
      </c>
      <c r="C2" s="202" t="s">
        <v>47</v>
      </c>
      <c r="D2" s="202" t="s">
        <v>233</v>
      </c>
      <c r="E2" s="202" t="s">
        <v>234</v>
      </c>
      <c r="F2" s="202" t="s">
        <v>235</v>
      </c>
      <c r="G2" s="202" t="s">
        <v>236</v>
      </c>
      <c r="H2" s="202" t="s">
        <v>237</v>
      </c>
      <c r="I2" s="202" t="s">
        <v>238</v>
      </c>
      <c r="J2" s="69" t="str">
        <f aca="false">Lists!$A$2</f>
        <v>Side 2</v>
      </c>
      <c r="K2" s="203" t="n">
        <v>2</v>
      </c>
      <c r="L2" s="202" t="s">
        <v>239</v>
      </c>
      <c r="M2" s="202" t="s">
        <v>81</v>
      </c>
      <c r="N2" s="202" t="s">
        <v>240</v>
      </c>
      <c r="O2" s="202" t="s">
        <v>241</v>
      </c>
      <c r="P2" s="202" t="s">
        <v>242</v>
      </c>
      <c r="Q2" s="202" t="s">
        <v>210</v>
      </c>
      <c r="R2" s="203" t="n">
        <v>1</v>
      </c>
      <c r="S2" s="202" t="s">
        <v>243</v>
      </c>
      <c r="T2" s="202" t="s">
        <v>244</v>
      </c>
      <c r="U2" s="202" t="s">
        <v>245</v>
      </c>
      <c r="V2" s="202" t="s">
        <v>246</v>
      </c>
      <c r="W2" s="202" t="s">
        <v>196</v>
      </c>
      <c r="X2" s="203" t="n">
        <v>2</v>
      </c>
      <c r="Y2" s="202" t="s">
        <v>247</v>
      </c>
      <c r="Z2" s="203" t="n">
        <v>2026</v>
      </c>
      <c r="AC2" s="202" t="s">
        <v>183</v>
      </c>
      <c r="AD2" s="202" t="s">
        <v>248</v>
      </c>
      <c r="AE2" s="204" t="s">
        <v>249</v>
      </c>
      <c r="AF2" s="204" t="s">
        <v>250</v>
      </c>
      <c r="AG2" s="204" t="s">
        <v>251</v>
      </c>
      <c r="AH2" s="0" t="n">
        <v>26986</v>
      </c>
      <c r="AI2" s="204" t="s">
        <v>252</v>
      </c>
      <c r="AJ2" s="204" t="s">
        <v>253</v>
      </c>
    </row>
    <row r="3" customFormat="false" ht="15" hidden="false" customHeight="false" outlineLevel="0" collapsed="false">
      <c r="A3" s="203" t="s">
        <v>254</v>
      </c>
      <c r="B3" s="203" t="s">
        <v>194</v>
      </c>
      <c r="C3" s="203" t="s">
        <v>48</v>
      </c>
      <c r="E3" s="203" t="s">
        <v>255</v>
      </c>
      <c r="F3" s="203" t="s">
        <v>256</v>
      </c>
      <c r="H3" s="203" t="s">
        <v>257</v>
      </c>
      <c r="I3" s="203" t="s">
        <v>258</v>
      </c>
      <c r="J3" s="203" t="s">
        <v>254</v>
      </c>
      <c r="K3" s="203" t="n">
        <v>3</v>
      </c>
      <c r="L3" s="203" t="s">
        <v>259</v>
      </c>
      <c r="M3" s="203" t="s">
        <v>36</v>
      </c>
      <c r="N3" s="203" t="s">
        <v>260</v>
      </c>
      <c r="O3" s="203" t="s">
        <v>261</v>
      </c>
      <c r="P3" s="203" t="s">
        <v>262</v>
      </c>
      <c r="Q3" s="203" t="s">
        <v>263</v>
      </c>
      <c r="R3" s="203" t="n">
        <v>2</v>
      </c>
      <c r="S3" s="203" t="s">
        <v>246</v>
      </c>
      <c r="T3" s="203" t="s">
        <v>264</v>
      </c>
      <c r="U3" s="203" t="s">
        <v>192</v>
      </c>
      <c r="W3" s="203" t="s">
        <v>197</v>
      </c>
      <c r="X3" s="203" t="n">
        <v>3</v>
      </c>
      <c r="Y3" s="203" t="s">
        <v>265</v>
      </c>
      <c r="Z3" s="203" t="n">
        <v>2027</v>
      </c>
      <c r="AC3" s="203" t="s">
        <v>254</v>
      </c>
      <c r="AD3" s="203" t="s">
        <v>266</v>
      </c>
      <c r="AE3" s="204" t="s">
        <v>267</v>
      </c>
      <c r="AG3" s="204" t="s">
        <v>268</v>
      </c>
      <c r="AH3" s="0" t="n">
        <v>22637</v>
      </c>
    </row>
    <row r="4" customFormat="false" ht="15" hidden="false" customHeight="false" outlineLevel="0" collapsed="false">
      <c r="B4" s="203" t="s">
        <v>269</v>
      </c>
      <c r="E4" s="203" t="s">
        <v>39</v>
      </c>
      <c r="F4" s="203" t="s">
        <v>270</v>
      </c>
      <c r="H4" s="203" t="s">
        <v>271</v>
      </c>
      <c r="I4" s="203" t="s">
        <v>272</v>
      </c>
      <c r="J4" s="203" t="s">
        <v>273</v>
      </c>
      <c r="K4" s="203" t="n">
        <v>4</v>
      </c>
      <c r="L4" s="203" t="s">
        <v>274</v>
      </c>
      <c r="M4" s="203" t="s">
        <v>23</v>
      </c>
      <c r="N4" s="203" t="s">
        <v>275</v>
      </c>
      <c r="O4" s="203" t="s">
        <v>276</v>
      </c>
      <c r="P4" s="203" t="s">
        <v>277</v>
      </c>
      <c r="Q4" s="203" t="s">
        <v>278</v>
      </c>
      <c r="R4" s="203" t="n">
        <v>3</v>
      </c>
      <c r="T4" s="203" t="s">
        <v>219</v>
      </c>
      <c r="U4" s="203" t="s">
        <v>279</v>
      </c>
      <c r="W4" s="203" t="s">
        <v>198</v>
      </c>
      <c r="X4" s="203" t="n">
        <v>4</v>
      </c>
      <c r="Y4" s="203" t="s">
        <v>280</v>
      </c>
      <c r="Z4" s="203" t="n">
        <v>2028</v>
      </c>
      <c r="AC4" s="203" t="s">
        <v>281</v>
      </c>
      <c r="AG4" s="204" t="s">
        <v>282</v>
      </c>
      <c r="AH4" s="0" t="n">
        <v>22304</v>
      </c>
    </row>
    <row r="5" customFormat="false" ht="15" hidden="false" customHeight="false" outlineLevel="0" collapsed="false">
      <c r="B5" s="203" t="s">
        <v>271</v>
      </c>
      <c r="E5" s="203" t="s">
        <v>283</v>
      </c>
      <c r="F5" s="203" t="s">
        <v>284</v>
      </c>
      <c r="J5" s="203" t="s">
        <v>211</v>
      </c>
      <c r="K5" s="203" t="n">
        <v>5</v>
      </c>
      <c r="L5" s="203" t="s">
        <v>285</v>
      </c>
      <c r="M5" s="203" t="s">
        <v>187</v>
      </c>
      <c r="N5" s="203" t="s">
        <v>286</v>
      </c>
      <c r="O5" s="203" t="s">
        <v>287</v>
      </c>
      <c r="P5" s="203" t="s">
        <v>288</v>
      </c>
      <c r="Q5" s="203" t="s">
        <v>289</v>
      </c>
      <c r="R5" s="203" t="n">
        <v>4</v>
      </c>
      <c r="T5" s="203" t="s">
        <v>290</v>
      </c>
      <c r="U5" s="203" t="s">
        <v>291</v>
      </c>
      <c r="W5" s="203" t="s">
        <v>199</v>
      </c>
      <c r="X5" s="203" t="n">
        <v>5</v>
      </c>
      <c r="Y5" s="203" t="s">
        <v>292</v>
      </c>
      <c r="Z5" s="203" t="n">
        <v>2029</v>
      </c>
      <c r="AG5" s="204" t="s">
        <v>293</v>
      </c>
      <c r="AH5" s="0" t="n">
        <v>19794</v>
      </c>
    </row>
    <row r="6" customFormat="false" ht="15" hidden="false" customHeight="false" outlineLevel="0" collapsed="false">
      <c r="F6" s="203" t="s">
        <v>294</v>
      </c>
      <c r="J6" s="203" t="s">
        <v>191</v>
      </c>
      <c r="M6" s="203" t="s">
        <v>84</v>
      </c>
      <c r="N6" s="203" t="s">
        <v>295</v>
      </c>
      <c r="O6" s="203" t="s">
        <v>296</v>
      </c>
      <c r="Q6" s="203" t="s">
        <v>164</v>
      </c>
      <c r="R6" s="203" t="n">
        <v>5</v>
      </c>
      <c r="W6" s="203" t="s">
        <v>200</v>
      </c>
      <c r="X6" s="203" t="n">
        <v>6</v>
      </c>
      <c r="Y6" s="203" t="s">
        <v>297</v>
      </c>
      <c r="Z6" s="203" t="n">
        <v>2030</v>
      </c>
      <c r="AG6" s="204" t="s">
        <v>298</v>
      </c>
      <c r="AH6" s="0" t="n">
        <v>20006</v>
      </c>
    </row>
    <row r="7" customFormat="false" ht="15" hidden="false" customHeight="false" outlineLevel="0" collapsed="false">
      <c r="M7" s="203" t="s">
        <v>188</v>
      </c>
      <c r="N7" s="203" t="s">
        <v>290</v>
      </c>
      <c r="O7" s="203" t="s">
        <v>299</v>
      </c>
      <c r="Q7" s="203" t="s">
        <v>271</v>
      </c>
      <c r="R7" s="203" t="n">
        <v>6</v>
      </c>
      <c r="W7" s="203" t="s">
        <v>201</v>
      </c>
      <c r="X7" s="203" t="n">
        <v>7</v>
      </c>
      <c r="Y7" s="203" t="s">
        <v>300</v>
      </c>
      <c r="Z7" s="203" t="n">
        <v>2031</v>
      </c>
      <c r="AG7" s="204" t="s">
        <v>301</v>
      </c>
      <c r="AH7" s="0" t="n">
        <v>17981</v>
      </c>
    </row>
    <row r="8" customFormat="false" ht="15" hidden="false" customHeight="false" outlineLevel="0" collapsed="false">
      <c r="M8" s="203" t="s">
        <v>46</v>
      </c>
      <c r="N8" s="203" t="s">
        <v>302</v>
      </c>
      <c r="O8" s="203" t="s">
        <v>117</v>
      </c>
      <c r="R8" s="203" t="n">
        <v>7</v>
      </c>
      <c r="W8" s="203" t="s">
        <v>202</v>
      </c>
      <c r="X8" s="203" t="n">
        <v>8</v>
      </c>
      <c r="Y8" s="203" t="s">
        <v>303</v>
      </c>
      <c r="Z8" s="203" t="n">
        <v>2032</v>
      </c>
      <c r="AG8" s="204" t="s">
        <v>304</v>
      </c>
      <c r="AH8" s="0" t="n">
        <v>18769</v>
      </c>
    </row>
    <row r="9" customFormat="false" ht="15" hidden="false" customHeight="false" outlineLevel="0" collapsed="false">
      <c r="M9" s="203" t="s">
        <v>189</v>
      </c>
      <c r="N9" s="203" t="s">
        <v>211</v>
      </c>
      <c r="O9" s="203" t="s">
        <v>305</v>
      </c>
      <c r="R9" s="203" t="n">
        <v>8</v>
      </c>
      <c r="W9" s="203" t="s">
        <v>203</v>
      </c>
      <c r="X9" s="203" t="n">
        <v>9</v>
      </c>
      <c r="Y9" s="203" t="s">
        <v>306</v>
      </c>
      <c r="Z9" s="203" t="n">
        <v>2033</v>
      </c>
      <c r="AG9" s="204" t="s">
        <v>307</v>
      </c>
      <c r="AH9" s="0" t="n">
        <v>17342</v>
      </c>
    </row>
    <row r="10" customFormat="false" ht="15" hidden="false" customHeight="false" outlineLevel="0" collapsed="false">
      <c r="N10" s="203" t="s">
        <v>308</v>
      </c>
      <c r="O10" s="203" t="s">
        <v>309</v>
      </c>
      <c r="R10" s="203" t="n">
        <v>9</v>
      </c>
      <c r="W10" s="203" t="s">
        <v>204</v>
      </c>
      <c r="X10" s="203" t="n">
        <v>10</v>
      </c>
      <c r="Y10" s="203" t="s">
        <v>310</v>
      </c>
      <c r="Z10" s="203" t="n">
        <v>2034</v>
      </c>
      <c r="AG10" s="204" t="s">
        <v>311</v>
      </c>
      <c r="AH10" s="0" t="n">
        <v>18410</v>
      </c>
    </row>
    <row r="11" customFormat="false" ht="15" hidden="false" customHeight="false" outlineLevel="0" collapsed="false">
      <c r="N11" s="203" t="s">
        <v>312</v>
      </c>
      <c r="O11" s="203" t="s">
        <v>313</v>
      </c>
      <c r="R11" s="203" t="n">
        <v>10</v>
      </c>
      <c r="W11" s="203" t="s">
        <v>205</v>
      </c>
      <c r="X11" s="203" t="n">
        <v>11</v>
      </c>
      <c r="Y11" s="203" t="s">
        <v>314</v>
      </c>
      <c r="Z11" s="203" t="n">
        <v>2035</v>
      </c>
      <c r="AG11" s="204" t="s">
        <v>315</v>
      </c>
      <c r="AH11" s="0" t="n">
        <v>19175</v>
      </c>
    </row>
    <row r="12" customFormat="false" ht="15" hidden="false" customHeight="false" outlineLevel="0" collapsed="false">
      <c r="N12" s="0" t="s">
        <v>191</v>
      </c>
      <c r="O12" s="203" t="s">
        <v>130</v>
      </c>
      <c r="R12" s="203" t="n">
        <v>11</v>
      </c>
      <c r="W12" s="203" t="s">
        <v>206</v>
      </c>
      <c r="X12" s="203" t="n">
        <v>12</v>
      </c>
      <c r="Y12" s="203" t="s">
        <v>316</v>
      </c>
      <c r="AG12" s="204" t="s">
        <v>249</v>
      </c>
      <c r="AH12" s="0" t="n">
        <v>22987</v>
      </c>
    </row>
    <row r="13" customFormat="false" ht="15" hidden="false" customHeight="false" outlineLevel="0" collapsed="false">
      <c r="N13" s="0" t="s">
        <v>271</v>
      </c>
      <c r="O13" s="203" t="s">
        <v>317</v>
      </c>
      <c r="R13" s="203" t="n">
        <v>12</v>
      </c>
      <c r="W13" s="203" t="s">
        <v>207</v>
      </c>
      <c r="X13" s="203" t="n">
        <v>13</v>
      </c>
      <c r="AG13" s="204" t="s">
        <v>267</v>
      </c>
      <c r="AH13" s="0" t="n">
        <v>18564</v>
      </c>
    </row>
    <row r="14" customFormat="false" ht="15" hidden="false" customHeight="false" outlineLevel="0" collapsed="false">
      <c r="O14" s="203" t="s">
        <v>318</v>
      </c>
      <c r="W14" s="203" t="s">
        <v>208</v>
      </c>
      <c r="X14" s="203" t="n">
        <v>14</v>
      </c>
    </row>
    <row r="15" customFormat="false" ht="15" hidden="false" customHeight="false" outlineLevel="0" collapsed="false">
      <c r="O15" s="203" t="s">
        <v>271</v>
      </c>
      <c r="W15" s="203" t="s">
        <v>209</v>
      </c>
      <c r="X15" s="203" t="n">
        <v>15</v>
      </c>
    </row>
    <row r="16" customFormat="false" ht="15" hidden="false" customHeight="false" outlineLevel="0" collapsed="false">
      <c r="X16" s="203" t="n">
        <v>16</v>
      </c>
    </row>
    <row r="17" customFormat="false" ht="15" hidden="false" customHeight="false" outlineLevel="0" collapsed="false">
      <c r="X17" s="203" t="n">
        <v>17</v>
      </c>
    </row>
    <row r="18" customFormat="false" ht="15" hidden="false" customHeight="false" outlineLevel="0" collapsed="false">
      <c r="X18" s="203" t="n">
        <v>18</v>
      </c>
    </row>
    <row r="19" customFormat="false" ht="15" hidden="false" customHeight="false" outlineLevel="0" collapsed="false">
      <c r="X19" s="203" t="n">
        <v>19</v>
      </c>
    </row>
    <row r="20" customFormat="false" ht="15" hidden="false" customHeight="false" outlineLevel="0" collapsed="false">
      <c r="X20" s="203" t="n">
        <v>20</v>
      </c>
    </row>
    <row r="21" customFormat="false" ht="15" hidden="false" customHeight="false" outlineLevel="0" collapsed="false">
      <c r="X21" s="203" t="n">
        <v>21</v>
      </c>
    </row>
    <row r="22" customFormat="false" ht="15" hidden="false" customHeight="false" outlineLevel="0" collapsed="false">
      <c r="X22" s="203" t="n">
        <v>22</v>
      </c>
    </row>
    <row r="23" customFormat="false" ht="15" hidden="false" customHeight="false" outlineLevel="0" collapsed="false">
      <c r="X23" s="203" t="n">
        <v>23</v>
      </c>
    </row>
    <row r="24" customFormat="false" ht="15" hidden="false" customHeight="false" outlineLevel="0" collapsed="false">
      <c r="X24" s="203" t="n">
        <v>24</v>
      </c>
    </row>
    <row r="25" customFormat="false" ht="15" hidden="false" customHeight="false" outlineLevel="0" collapsed="false">
      <c r="X25" s="203" t="n">
        <v>25</v>
      </c>
    </row>
    <row r="26" customFormat="false" ht="15" hidden="false" customHeight="false" outlineLevel="0" collapsed="false">
      <c r="X26" s="203" t="n">
        <v>26</v>
      </c>
    </row>
    <row r="27" customFormat="false" ht="15" hidden="false" customHeight="false" outlineLevel="0" collapsed="false">
      <c r="X27" s="203" t="n">
        <v>27</v>
      </c>
    </row>
    <row r="28" customFormat="false" ht="15" hidden="false" customHeight="false" outlineLevel="0" collapsed="false">
      <c r="X28" s="203" t="n">
        <v>28</v>
      </c>
    </row>
    <row r="29" customFormat="false" ht="15" hidden="false" customHeight="false" outlineLevel="0" collapsed="false">
      <c r="X29" s="203" t="n">
        <v>29</v>
      </c>
    </row>
    <row r="30" customFormat="false" ht="15" hidden="false" customHeight="false" outlineLevel="0" collapsed="false">
      <c r="X30" s="203" t="n">
        <v>30</v>
      </c>
    </row>
    <row r="31" customFormat="false" ht="15" hidden="false" customHeight="false" outlineLevel="0" collapsed="false">
      <c r="X31" s="203" t="n">
        <v>31</v>
      </c>
    </row>
  </sheetData>
  <sheetProtection sheet="true" password="f717" objects="true" scenarios="true" formatCells="false" formatColumns="false" formatRows="false" insertHyperlinks="false"/>
  <dataValidations count="2">
    <dataValidation allowBlank="true" error="This cell fills itself in: no need to type here. Fill in the white cells instead." errorStyle="stop" errorTitle="Automatic cell" operator="between" showDropDown="false" showErrorMessage="true" showInputMessage="false" sqref="A1:A2" type="custom">
      <formula1>ISFORMULA(A1)</formula1>
    </dataValidation>
    <dataValidation allowBlank="true" error="This cell fills itself in: no need to type here. Fill in the white cells instead." errorStyle="stop" errorTitle="Automatic cell" operator="between" showDropDown="false" showErrorMessage="true" showInputMessage="false" sqref="J1:J2" type="custom">
      <formula1>ISFORMULA(J1)</formula1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2026-10-16T21:58:15Z</dcterms:created>
  <dc:creator>Joli Plan</dc:creator>
  <dc:description>© 2026 Joli Plan · All rights reserved. Personal use licence: this file is for the buyer only. It may not be shared, resold or distributed, in whole or in part, even if modified.</dc:description>
  <cp:keywords>Joli Plan</cp:keywords>
  <dc:language>en-GB</dc:language>
  <cp:lastModifiedBy/>
  <dcterms:modified xsi:type="dcterms:W3CDTF">2026-10-24T09:48:56Z</dcterms:modified>
  <cp:revision>2</cp:revision>
  <dc:subject>UK wedding planning</dc:subject>
  <dc:title>UK Wedding Planner – Joli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2026 Joli Plan · Tous droits réservés</vt:lpwstr>
  </property>
  <property fmtid="{D5CDD505-2E9C-101B-9397-08002B2CF9AE}" pid="3" name="Licence">
    <vt:lpwstr>Licence d'usage personnel : ce fichier est réservé à l'acheteur. Il ne peut être ni partagé, ni revendu, ni diffusé, en tout ou en partie, même modifié.</vt:lpwstr>
  </property>
</Properties>
</file>